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codeName="ThisWorkbook" defaultThemeVersion="124226"/>
  <mc:AlternateContent xmlns:mc="http://schemas.openxmlformats.org/markup-compatibility/2006">
    <mc:Choice Requires="x15">
      <x15ac:absPath xmlns:x15ac="http://schemas.microsoft.com/office/spreadsheetml/2010/11/ac" url="C:\Users\lcurtis\Desktop\"/>
    </mc:Choice>
  </mc:AlternateContent>
  <xr:revisionPtr revIDLastSave="0" documentId="8_{4FFAA9AB-F065-4507-A820-764F5A9FC4D3}" xr6:coauthVersionLast="43" xr6:coauthVersionMax="43" xr10:uidLastSave="{00000000-0000-0000-0000-000000000000}"/>
  <workbookProtection workbookPassword="C4BA" lockStructure="1"/>
  <bookViews>
    <workbookView xWindow="-120" yWindow="-120" windowWidth="29040" windowHeight="15840" activeTab="1" xr2:uid="{00000000-000D-0000-FFFF-FFFF00000000}"/>
  </bookViews>
  <sheets>
    <sheet name="Instructions" sheetId="30" r:id="rId1"/>
    <sheet name="PTCS Sizing Calculator" sheetId="14" r:id="rId2"/>
    <sheet name="CAC Sizing Worksheet" sheetId="17" state="hidden" r:id="rId3"/>
    <sheet name="HP Sizing Worksheet" sheetId="15" state="hidden" r:id="rId4"/>
    <sheet name="UA Optimizer" sheetId="16" state="hidden" r:id="rId5"/>
    <sheet name="Design Temps" sheetId="19" state="hidden" r:id="rId6"/>
    <sheet name="NorthLR" sheetId="20" state="hidden" r:id="rId7"/>
    <sheet name="NELR" sheetId="21" state="hidden" r:id="rId8"/>
    <sheet name="EasatLR" sheetId="24" state="hidden" r:id="rId9"/>
    <sheet name="SELR" sheetId="25" state="hidden" r:id="rId10"/>
    <sheet name="SouthER" sheetId="26" state="hidden" r:id="rId11"/>
    <sheet name="SWLR" sheetId="27" state="hidden" r:id="rId12"/>
    <sheet name="westlr" sheetId="28" state="hidden" r:id="rId13"/>
    <sheet name="Sheet5" sheetId="29" state="hidden" r:id="rId14"/>
  </sheets>
  <definedNames>
    <definedName name="_Key1" hidden="1">#REF!</definedName>
    <definedName name="_Order1" hidden="1">255</definedName>
    <definedName name="_Sort" hidden="1">#REF!</definedName>
    <definedName name="BPChosen">'HP Sizing Worksheet'!$C$2</definedName>
    <definedName name="BPRange">'HP Sizing Worksheet'!$Q$4:$Q$14</definedName>
    <definedName name="DeltaT_Cool">'CAC Sizing Worksheet'!$M$35</definedName>
    <definedName name="DesignLoad_Cool">'CAC Sizing Worksheet'!$F$22</definedName>
    <definedName name="DesignLoad_Heat">'HP Sizing Worksheet'!$J$38</definedName>
    <definedName name="DuctLosses">'HP Sizing Worksheet'!$J$35</definedName>
    <definedName name="FloorArea">'PTCS Sizing Calculator'!$C$10</definedName>
    <definedName name="FloorUA_Offset">'HP Sizing Worksheet'!$J$53</definedName>
    <definedName name="NonWindowUA">'HP Sizing Worksheet'!$F$36</definedName>
    <definedName name="PC_Main">[0]!PC_Main</definedName>
    <definedName name="_xlnm.Print_Area" localSheetId="1">'PTCS Sizing Calculator'!$A$1:$C$36</definedName>
    <definedName name="ShellType">'HP Sizing Worksheet'!$E$46:$I$51</definedName>
    <definedName name="SHGCChosen">'HP Sizing Worksheet'!$G$34</definedName>
    <definedName name="SizingTable">'HP Sizing Worksheet'!$C$5:$N$32</definedName>
    <definedName name="UAChosen">'HP Sizing Worksheet'!$F$44</definedName>
    <definedName name="UARange">'HP Sizing Worksheet'!$C$5:$C$32</definedName>
    <definedName name="WindowArea">'PTCS Sizing Calculator'!$C$30</definedName>
    <definedName name="WindowRatio">'CAC Sizing Worksheet'!$F$26</definedName>
    <definedName name="WindowUA">'HP Sizing Worksheet'!$F$37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3" i="14" l="1"/>
  <c r="C12" i="14"/>
  <c r="M44" i="17"/>
  <c r="D43" i="15"/>
  <c r="D37" i="15" s="1"/>
  <c r="F37" i="15" s="1"/>
  <c r="C30" i="14"/>
  <c r="F26" i="17"/>
  <c r="B6" i="17"/>
  <c r="G43" i="15"/>
  <c r="G34" i="15" s="1"/>
  <c r="C13" i="17" s="1"/>
  <c r="B7" i="17"/>
  <c r="B8" i="17"/>
  <c r="B9" i="17"/>
  <c r="B10" i="17"/>
  <c r="B11" i="17"/>
  <c r="B12" i="17"/>
  <c r="B13" i="17"/>
  <c r="P35" i="17"/>
  <c r="Q38" i="17"/>
  <c r="Q39" i="17"/>
  <c r="Q40" i="17"/>
  <c r="Q41" i="17"/>
  <c r="Q42" i="17"/>
  <c r="Q43" i="17"/>
  <c r="Q44" i="17"/>
  <c r="Q35" i="17"/>
  <c r="J37" i="15" s="1"/>
  <c r="Q45" i="17"/>
  <c r="Q46" i="17"/>
  <c r="Q47" i="17"/>
  <c r="Q48" i="17"/>
  <c r="Q49" i="17"/>
  <c r="Q50" i="17"/>
  <c r="Q51" i="17"/>
  <c r="Q52" i="17"/>
  <c r="Q53" i="17"/>
  <c r="Q54" i="17"/>
  <c r="Q55" i="17"/>
  <c r="Q56" i="17"/>
  <c r="Q57" i="17"/>
  <c r="Q58" i="17"/>
  <c r="Q59" i="17"/>
  <c r="Q60" i="17"/>
  <c r="Q61" i="17"/>
  <c r="Q62" i="17"/>
  <c r="Q63" i="17"/>
  <c r="Q64" i="17"/>
  <c r="Q65" i="17"/>
  <c r="Q66" i="17"/>
  <c r="Q67" i="17"/>
  <c r="Q68" i="17"/>
  <c r="Q69" i="17"/>
  <c r="Q70" i="17"/>
  <c r="Q71" i="17"/>
  <c r="Q72" i="17"/>
  <c r="Q73" i="17"/>
  <c r="Q74" i="17"/>
  <c r="Q75" i="17"/>
  <c r="Q76" i="17"/>
  <c r="Q77" i="17"/>
  <c r="Q78" i="17"/>
  <c r="Q79" i="17"/>
  <c r="Q80" i="17"/>
  <c r="Q81" i="17"/>
  <c r="Q82" i="17"/>
  <c r="Q83" i="17"/>
  <c r="Q84" i="17"/>
  <c r="Q85" i="17"/>
  <c r="Q86" i="17"/>
  <c r="Q87" i="17"/>
  <c r="Q37" i="17"/>
  <c r="A19" i="14"/>
  <c r="A20" i="14"/>
  <c r="C6" i="14"/>
  <c r="M71" i="17"/>
  <c r="E13" i="17"/>
  <c r="D13" i="17"/>
  <c r="E12" i="17"/>
  <c r="D12" i="17"/>
  <c r="E11" i="17"/>
  <c r="D11" i="17"/>
  <c r="N25" i="17"/>
  <c r="N30" i="17" s="1"/>
  <c r="M33" i="17"/>
  <c r="M32" i="17"/>
  <c r="M31" i="17"/>
  <c r="M30" i="17"/>
  <c r="M29" i="17"/>
  <c r="M28" i="17"/>
  <c r="M27" i="17"/>
  <c r="M26" i="17"/>
  <c r="E37" i="15"/>
  <c r="E36" i="15"/>
  <c r="M38" i="17"/>
  <c r="M39" i="17"/>
  <c r="M40" i="17"/>
  <c r="M41" i="17"/>
  <c r="M42" i="17"/>
  <c r="M43" i="17"/>
  <c r="M45" i="17"/>
  <c r="M46" i="17"/>
  <c r="M47" i="17"/>
  <c r="M48" i="17"/>
  <c r="M49" i="17"/>
  <c r="M50" i="17"/>
  <c r="M51" i="17"/>
  <c r="M52" i="17"/>
  <c r="M53" i="17"/>
  <c r="M54" i="17"/>
  <c r="M55" i="17"/>
  <c r="M56" i="17"/>
  <c r="M57" i="17"/>
  <c r="M58" i="17"/>
  <c r="M59" i="17"/>
  <c r="M60" i="17"/>
  <c r="M61" i="17"/>
  <c r="M62" i="17"/>
  <c r="M63" i="17"/>
  <c r="M64" i="17"/>
  <c r="M65" i="17"/>
  <c r="M66" i="17"/>
  <c r="M67" i="17"/>
  <c r="M68" i="17"/>
  <c r="M69" i="17"/>
  <c r="M70" i="17"/>
  <c r="M72" i="17"/>
  <c r="M73" i="17"/>
  <c r="M74" i="17"/>
  <c r="M75" i="17"/>
  <c r="M76" i="17"/>
  <c r="M77" i="17"/>
  <c r="M35" i="17" s="1"/>
  <c r="M78" i="17"/>
  <c r="M79" i="17"/>
  <c r="M80" i="17"/>
  <c r="M81" i="17"/>
  <c r="M82" i="17"/>
  <c r="M83" i="17"/>
  <c r="M84" i="17"/>
  <c r="M85" i="17"/>
  <c r="M86" i="17"/>
  <c r="M87" i="17"/>
  <c r="M37" i="17"/>
  <c r="C8" i="14"/>
  <c r="K45" i="15"/>
  <c r="J45" i="15"/>
  <c r="F113" i="15"/>
  <c r="E113" i="15"/>
  <c r="D113" i="15"/>
  <c r="D115" i="15"/>
  <c r="F99" i="15"/>
  <c r="E99" i="15"/>
  <c r="D99" i="15"/>
  <c r="F85" i="15"/>
  <c r="G85" i="15"/>
  <c r="G87" i="15" s="1"/>
  <c r="E85" i="15"/>
  <c r="D85" i="15"/>
  <c r="C16" i="14"/>
  <c r="C15" i="14"/>
  <c r="C14" i="14"/>
  <c r="F6" i="16"/>
  <c r="B76" i="16"/>
  <c r="F12" i="16"/>
  <c r="B77" i="16"/>
  <c r="F16" i="16"/>
  <c r="B63" i="16"/>
  <c r="B21" i="16"/>
  <c r="H21" i="16" s="1"/>
  <c r="F27" i="16"/>
  <c r="B125" i="16" s="1"/>
  <c r="B33" i="16"/>
  <c r="F33" i="16" s="1"/>
  <c r="F30" i="16"/>
  <c r="G6" i="16"/>
  <c r="C61" i="16" s="1"/>
  <c r="G12" i="16"/>
  <c r="C77" i="16" s="1"/>
  <c r="G16" i="16"/>
  <c r="C63" i="16"/>
  <c r="G27" i="16"/>
  <c r="C95" i="16" s="1"/>
  <c r="G33" i="16"/>
  <c r="C81" i="16" s="1"/>
  <c r="G30" i="16"/>
  <c r="C82" i="16" s="1"/>
  <c r="H6" i="16"/>
  <c r="K7" i="16" s="1"/>
  <c r="H12" i="16"/>
  <c r="H16" i="16"/>
  <c r="D78" i="16" s="1"/>
  <c r="H27" i="16"/>
  <c r="D80" i="16" s="1"/>
  <c r="H33" i="16"/>
  <c r="D81" i="16" s="1"/>
  <c r="H30" i="16"/>
  <c r="E75" i="16"/>
  <c r="B91" i="16"/>
  <c r="F17" i="16"/>
  <c r="B108" i="16" s="1"/>
  <c r="E108" i="16" s="1"/>
  <c r="B22" i="16"/>
  <c r="F22" i="16" s="1"/>
  <c r="C92" i="16"/>
  <c r="G17" i="16"/>
  <c r="C93" i="16"/>
  <c r="G22" i="16"/>
  <c r="C94" i="16"/>
  <c r="C97" i="16"/>
  <c r="H17" i="16"/>
  <c r="D96" i="16"/>
  <c r="E90" i="16"/>
  <c r="F7" i="16"/>
  <c r="F13" i="16"/>
  <c r="B23" i="16"/>
  <c r="H23" i="16" s="1"/>
  <c r="G7" i="16"/>
  <c r="G13" i="16"/>
  <c r="C107" i="16" s="1"/>
  <c r="C108" i="16"/>
  <c r="H7" i="16"/>
  <c r="D121" i="16" s="1"/>
  <c r="H13" i="16"/>
  <c r="D107" i="16" s="1"/>
  <c r="D111" i="16"/>
  <c r="E105" i="16"/>
  <c r="F18" i="16"/>
  <c r="B24" i="16"/>
  <c r="H24" i="16" s="1"/>
  <c r="F31" i="16"/>
  <c r="B142" i="16" s="1"/>
  <c r="G18" i="16"/>
  <c r="C123" i="16" s="1"/>
  <c r="C125" i="16"/>
  <c r="G31" i="16"/>
  <c r="C127" i="16"/>
  <c r="H18" i="16"/>
  <c r="D125" i="16"/>
  <c r="H31" i="16"/>
  <c r="E120" i="16"/>
  <c r="F8" i="16"/>
  <c r="B136" i="16"/>
  <c r="B137" i="16"/>
  <c r="F19" i="16"/>
  <c r="B138" i="16" s="1"/>
  <c r="E138" i="16" s="1"/>
  <c r="F138" i="16" s="1"/>
  <c r="J61" i="15" s="1"/>
  <c r="J53" i="15" s="1"/>
  <c r="F25" i="16"/>
  <c r="B139" i="16" s="1"/>
  <c r="E139" i="16" s="1"/>
  <c r="F28" i="16"/>
  <c r="B140" i="16" s="1"/>
  <c r="G8" i="16"/>
  <c r="C136" i="16" s="1"/>
  <c r="G19" i="16"/>
  <c r="C138" i="16" s="1"/>
  <c r="G25" i="16"/>
  <c r="C139" i="16"/>
  <c r="G28" i="16"/>
  <c r="C140" i="16"/>
  <c r="C141" i="16"/>
  <c r="C142" i="16"/>
  <c r="H8" i="16"/>
  <c r="D137" i="16"/>
  <c r="H19" i="16"/>
  <c r="D138" i="16"/>
  <c r="H25" i="16"/>
  <c r="D139" i="16"/>
  <c r="H28" i="16"/>
  <c r="D140" i="16" s="1"/>
  <c r="E135" i="16"/>
  <c r="B61" i="16"/>
  <c r="F11" i="16"/>
  <c r="B62" i="16" s="1"/>
  <c r="I13" i="16"/>
  <c r="G11" i="16"/>
  <c r="C65" i="16"/>
  <c r="D61" i="16"/>
  <c r="H11" i="16"/>
  <c r="D62" i="16"/>
  <c r="E60" i="16"/>
  <c r="B26" i="16"/>
  <c r="H26" i="16" s="1"/>
  <c r="K26" i="16" s="1"/>
  <c r="B20" i="16"/>
  <c r="B32" i="16"/>
  <c r="F32" i="16" s="1"/>
  <c r="B42" i="16"/>
  <c r="C42" i="16"/>
  <c r="AS2" i="16" s="1"/>
  <c r="D42" i="16"/>
  <c r="E42" i="16"/>
  <c r="BD2" i="16" s="1"/>
  <c r="F42" i="16"/>
  <c r="BN2" i="16" s="1"/>
  <c r="BB2" i="16"/>
  <c r="L44" i="16"/>
  <c r="L45" i="16"/>
  <c r="T2" i="16"/>
  <c r="U2" i="16"/>
  <c r="V2" i="16"/>
  <c r="W2" i="16"/>
  <c r="Y2" i="16"/>
  <c r="Z2" i="16"/>
  <c r="AA2" i="16"/>
  <c r="AB2" i="16"/>
  <c r="AD2" i="16"/>
  <c r="AE2" i="16"/>
  <c r="AF2" i="16"/>
  <c r="AG2" i="16"/>
  <c r="G39" i="16"/>
  <c r="B39" i="16" s="1"/>
  <c r="B5" i="16" s="1"/>
  <c r="H5" i="16" s="1"/>
  <c r="K6" i="16" s="1"/>
  <c r="H39" i="16"/>
  <c r="D39" i="16"/>
  <c r="G37" i="16"/>
  <c r="H37" i="16"/>
  <c r="D37" i="16"/>
  <c r="F10" i="16"/>
  <c r="G10" i="16"/>
  <c r="H10" i="16"/>
  <c r="F14" i="16"/>
  <c r="I14" i="16" s="1"/>
  <c r="G14" i="16"/>
  <c r="H14" i="16"/>
  <c r="J14" i="16"/>
  <c r="G38" i="16"/>
  <c r="B38" i="16" s="1"/>
  <c r="H38" i="16"/>
  <c r="D38" i="16"/>
  <c r="I28" i="16"/>
  <c r="F29" i="16"/>
  <c r="G29" i="16"/>
  <c r="H29" i="16"/>
  <c r="K30" i="16" s="1"/>
  <c r="B36" i="16"/>
  <c r="G44" i="16"/>
  <c r="G45" i="16"/>
  <c r="G46" i="16"/>
  <c r="G47" i="16"/>
  <c r="G48" i="16"/>
  <c r="T43" i="16"/>
  <c r="V43" i="16"/>
  <c r="Y43" i="16"/>
  <c r="AA43" i="16"/>
  <c r="AD43" i="16"/>
  <c r="AF43" i="16"/>
  <c r="G49" i="16"/>
  <c r="T44" i="16"/>
  <c r="V44" i="16"/>
  <c r="Y44" i="16"/>
  <c r="AA44" i="16"/>
  <c r="AD44" i="16"/>
  <c r="AF44" i="16"/>
  <c r="G50" i="16"/>
  <c r="T45" i="16"/>
  <c r="V45" i="16"/>
  <c r="Y45" i="16"/>
  <c r="AA45" i="16"/>
  <c r="AD45" i="16"/>
  <c r="AF45" i="16"/>
  <c r="G51" i="16"/>
  <c r="T46" i="16"/>
  <c r="V46" i="16"/>
  <c r="Y46" i="16"/>
  <c r="AA46" i="16"/>
  <c r="AD46" i="16"/>
  <c r="AF46" i="16"/>
  <c r="G52" i="16"/>
  <c r="T47" i="16"/>
  <c r="V47" i="16"/>
  <c r="Y47" i="16"/>
  <c r="AA47" i="16"/>
  <c r="AD47" i="16"/>
  <c r="AF47" i="16"/>
  <c r="T48" i="16"/>
  <c r="V48" i="16"/>
  <c r="Y48" i="16"/>
  <c r="AA48" i="16"/>
  <c r="AD48" i="16"/>
  <c r="AF48" i="16"/>
  <c r="G54" i="16"/>
  <c r="T49" i="16"/>
  <c r="V49" i="16"/>
  <c r="Y49" i="16"/>
  <c r="AA49" i="16"/>
  <c r="AD49" i="16"/>
  <c r="AF49" i="16"/>
  <c r="T50" i="16"/>
  <c r="V50" i="16"/>
  <c r="Y50" i="16"/>
  <c r="AA50" i="16"/>
  <c r="AD50" i="16"/>
  <c r="AF50" i="16"/>
  <c r="T51" i="16"/>
  <c r="V51" i="16"/>
  <c r="Y51" i="16"/>
  <c r="AA51" i="16"/>
  <c r="AD51" i="16"/>
  <c r="AF51" i="16"/>
  <c r="T52" i="16"/>
  <c r="V52" i="16"/>
  <c r="Y52" i="16"/>
  <c r="AA52" i="16"/>
  <c r="AD52" i="16"/>
  <c r="AF52" i="16"/>
  <c r="T53" i="16"/>
  <c r="V53" i="16"/>
  <c r="Y53" i="16"/>
  <c r="AA53" i="16"/>
  <c r="AD53" i="16"/>
  <c r="AF53" i="16"/>
  <c r="AD54" i="16"/>
  <c r="AF54" i="16"/>
  <c r="AD55" i="16"/>
  <c r="AF55" i="16"/>
  <c r="V1" i="14"/>
  <c r="C18" i="14"/>
  <c r="G84" i="15"/>
  <c r="G86" i="15"/>
  <c r="G88" i="15" s="1"/>
  <c r="G76" i="15"/>
  <c r="G98" i="15"/>
  <c r="G100" i="15" s="1"/>
  <c r="G90" i="15"/>
  <c r="G112" i="15"/>
  <c r="G114" i="15" s="1"/>
  <c r="G116" i="15" s="1"/>
  <c r="G60" i="15" s="1"/>
  <c r="H60" i="15" s="1"/>
  <c r="G104" i="15"/>
  <c r="B67" i="15"/>
  <c r="B68" i="15"/>
  <c r="B69" i="15"/>
  <c r="C70" i="15"/>
  <c r="D70" i="15"/>
  <c r="E70" i="15"/>
  <c r="F70" i="15"/>
  <c r="G70" i="15"/>
  <c r="I70" i="15"/>
  <c r="J70" i="15"/>
  <c r="K70" i="15"/>
  <c r="E71" i="15" s="1"/>
  <c r="L70" i="15"/>
  <c r="M70" i="15"/>
  <c r="D71" i="15"/>
  <c r="F71" i="15"/>
  <c r="G71" i="15"/>
  <c r="G80" i="15"/>
  <c r="D86" i="15"/>
  <c r="E86" i="15"/>
  <c r="F86" i="15"/>
  <c r="D87" i="15"/>
  <c r="E87" i="15"/>
  <c r="G94" i="15"/>
  <c r="D100" i="15"/>
  <c r="E100" i="15"/>
  <c r="F100" i="15"/>
  <c r="D101" i="15"/>
  <c r="E101" i="15"/>
  <c r="F101" i="15"/>
  <c r="G108" i="15"/>
  <c r="D114" i="15"/>
  <c r="E114" i="15"/>
  <c r="F114" i="15"/>
  <c r="E115" i="15"/>
  <c r="F115" i="15"/>
  <c r="A18" i="14"/>
  <c r="G99" i="15"/>
  <c r="G101" i="15" s="1"/>
  <c r="B123" i="16"/>
  <c r="I19" i="16"/>
  <c r="F26" i="16"/>
  <c r="C62" i="16"/>
  <c r="J13" i="16"/>
  <c r="B107" i="16"/>
  <c r="C78" i="16"/>
  <c r="G113" i="15"/>
  <c r="G115" i="15" s="1"/>
  <c r="F87" i="15"/>
  <c r="BM2" i="16"/>
  <c r="G32" i="16"/>
  <c r="D66" i="16"/>
  <c r="B65" i="16"/>
  <c r="D126" i="16"/>
  <c r="F24" i="16"/>
  <c r="F36" i="16" s="1"/>
  <c r="D108" i="16"/>
  <c r="F108" i="16"/>
  <c r="J59" i="15" s="1"/>
  <c r="B110" i="16"/>
  <c r="H22" i="16"/>
  <c r="C91" i="16"/>
  <c r="B92" i="16"/>
  <c r="B80" i="16"/>
  <c r="B78" i="16"/>
  <c r="E78" i="16" s="1"/>
  <c r="F78" i="16" s="1"/>
  <c r="J57" i="15" s="1"/>
  <c r="BC2" i="16"/>
  <c r="D77" i="16"/>
  <c r="D92" i="16"/>
  <c r="F21" i="16"/>
  <c r="G21" i="16"/>
  <c r="C64" i="16" s="1"/>
  <c r="D93" i="16"/>
  <c r="BA2" i="16"/>
  <c r="BG59" i="16" s="1"/>
  <c r="H32" i="16"/>
  <c r="B122" i="16"/>
  <c r="B95" i="16"/>
  <c r="B124" i="16"/>
  <c r="B79" i="16"/>
  <c r="J22" i="16"/>
  <c r="C79" i="16"/>
  <c r="K18" i="16"/>
  <c r="D123" i="16"/>
  <c r="K19" i="16"/>
  <c r="C106" i="16"/>
  <c r="J8" i="16"/>
  <c r="C121" i="16"/>
  <c r="B121" i="16"/>
  <c r="B106" i="16"/>
  <c r="I7" i="16"/>
  <c r="I8" i="16"/>
  <c r="B112" i="16"/>
  <c r="B97" i="16"/>
  <c r="B82" i="16"/>
  <c r="B67" i="16"/>
  <c r="N33" i="17"/>
  <c r="N26" i="17"/>
  <c r="N32" i="17"/>
  <c r="N27" i="17"/>
  <c r="O25" i="17"/>
  <c r="N31" i="17"/>
  <c r="N29" i="17"/>
  <c r="N28" i="17"/>
  <c r="AT2" i="16"/>
  <c r="BL2" i="16"/>
  <c r="BG21" i="16"/>
  <c r="BG35" i="16"/>
  <c r="BG33" i="16"/>
  <c r="B37" i="16"/>
  <c r="B9" i="16" s="1"/>
  <c r="K28" i="16"/>
  <c r="D136" i="16"/>
  <c r="K8" i="16"/>
  <c r="D142" i="16"/>
  <c r="D127" i="16"/>
  <c r="D112" i="16"/>
  <c r="D82" i="16"/>
  <c r="D67" i="16"/>
  <c r="D97" i="16"/>
  <c r="K31" i="16"/>
  <c r="BJ2" i="16"/>
  <c r="AR2" i="16"/>
  <c r="G42" i="16"/>
  <c r="F20" i="16"/>
  <c r="I21" i="16"/>
  <c r="G20" i="16"/>
  <c r="J21" i="16"/>
  <c r="H20" i="16"/>
  <c r="K21" i="16" s="1"/>
  <c r="B93" i="16"/>
  <c r="E93" i="16" s="1"/>
  <c r="F93" i="16" s="1"/>
  <c r="J58" i="15" s="1"/>
  <c r="I18" i="16"/>
  <c r="BE2" i="16"/>
  <c r="G23" i="16"/>
  <c r="C109" i="16"/>
  <c r="J23" i="16"/>
  <c r="BG41" i="16"/>
  <c r="BG54" i="16"/>
  <c r="BG30" i="16"/>
  <c r="BG69" i="16"/>
  <c r="F5" i="16"/>
  <c r="G5" i="16"/>
  <c r="J6" i="16" s="1"/>
  <c r="BG5" i="16"/>
  <c r="BG29" i="16"/>
  <c r="O29" i="17"/>
  <c r="O26" i="17"/>
  <c r="O31" i="17"/>
  <c r="O32" i="17"/>
  <c r="O27" i="17"/>
  <c r="P25" i="17"/>
  <c r="O30" i="17"/>
  <c r="O33" i="17"/>
  <c r="O28" i="17"/>
  <c r="P27" i="17"/>
  <c r="P32" i="17"/>
  <c r="P31" i="17"/>
  <c r="P33" i="17"/>
  <c r="G9" i="16"/>
  <c r="J11" i="16"/>
  <c r="I6" i="16" l="1"/>
  <c r="BG71" i="16"/>
  <c r="BG38" i="16"/>
  <c r="BG13" i="16"/>
  <c r="BG53" i="16"/>
  <c r="H9" i="16"/>
  <c r="F9" i="16"/>
  <c r="I11" i="16" s="1"/>
  <c r="E123" i="16"/>
  <c r="F123" i="16" s="1"/>
  <c r="J60" i="15" s="1"/>
  <c r="I39" i="16"/>
  <c r="B64" i="16"/>
  <c r="I22" i="16"/>
  <c r="G102" i="15"/>
  <c r="G58" i="15" s="1"/>
  <c r="H58" i="15" s="1"/>
  <c r="B94" i="16"/>
  <c r="B15" i="16"/>
  <c r="I38" i="16"/>
  <c r="BG20" i="16"/>
  <c r="BG18" i="16"/>
  <c r="BG12" i="16"/>
  <c r="BG40" i="16"/>
  <c r="BG42" i="16"/>
  <c r="BG50" i="16"/>
  <c r="BG43" i="16"/>
  <c r="BG32" i="16"/>
  <c r="D94" i="16"/>
  <c r="K23" i="16"/>
  <c r="BG4" i="16"/>
  <c r="I37" i="16"/>
  <c r="BG19" i="16"/>
  <c r="BG68" i="16"/>
  <c r="BG63" i="16"/>
  <c r="BG44" i="16"/>
  <c r="G59" i="15"/>
  <c r="H59" i="15" s="1"/>
  <c r="B66" i="16"/>
  <c r="B68" i="16" s="1"/>
  <c r="B141" i="16"/>
  <c r="B143" i="16" s="1"/>
  <c r="B126" i="16"/>
  <c r="B128" i="16" s="1"/>
  <c r="B81" i="16"/>
  <c r="B83" i="16" s="1"/>
  <c r="B96" i="16"/>
  <c r="B111" i="16"/>
  <c r="H36" i="16"/>
  <c r="D124" i="16"/>
  <c r="K25" i="16"/>
  <c r="BG60" i="16"/>
  <c r="BG28" i="16"/>
  <c r="BG65" i="16"/>
  <c r="G56" i="15"/>
  <c r="H56" i="15" s="1"/>
  <c r="G57" i="15"/>
  <c r="H57" i="15" s="1"/>
  <c r="P26" i="17"/>
  <c r="P30" i="17"/>
  <c r="P29" i="17"/>
  <c r="Q25" i="17"/>
  <c r="P28" i="17"/>
  <c r="BG72" i="16"/>
  <c r="BG34" i="16"/>
  <c r="BG61" i="16"/>
  <c r="D109" i="16"/>
  <c r="K24" i="16"/>
  <c r="D79" i="16"/>
  <c r="E79" i="16" s="1"/>
  <c r="D64" i="16"/>
  <c r="K22" i="16"/>
  <c r="G61" i="15"/>
  <c r="H61" i="15" s="1"/>
  <c r="BG56" i="16"/>
  <c r="BG49" i="16"/>
  <c r="BG24" i="16"/>
  <c r="BG11" i="16"/>
  <c r="BG26" i="16"/>
  <c r="BG6" i="16"/>
  <c r="BG46" i="16"/>
  <c r="BG8" i="16"/>
  <c r="BG36" i="16"/>
  <c r="BG57" i="16"/>
  <c r="BG67" i="16"/>
  <c r="BG62" i="16"/>
  <c r="BG45" i="16"/>
  <c r="BG58" i="16"/>
  <c r="BG64" i="16"/>
  <c r="BG55" i="16"/>
  <c r="BG14" i="16"/>
  <c r="BG31" i="16"/>
  <c r="BG51" i="16"/>
  <c r="BG73" i="16"/>
  <c r="BG37" i="16"/>
  <c r="BG70" i="16"/>
  <c r="BG10" i="16"/>
  <c r="BG7" i="16"/>
  <c r="BG23" i="16"/>
  <c r="BG9" i="16"/>
  <c r="BG15" i="16"/>
  <c r="BG47" i="16"/>
  <c r="BG16" i="16"/>
  <c r="BG22" i="16"/>
  <c r="BG27" i="16"/>
  <c r="BG25" i="16"/>
  <c r="BG48" i="16"/>
  <c r="BG17" i="16"/>
  <c r="BG66" i="16"/>
  <c r="BG39" i="16"/>
  <c r="BG52" i="16"/>
  <c r="E63" i="16"/>
  <c r="F63" i="16" s="1"/>
  <c r="J56" i="15" s="1"/>
  <c r="J19" i="16"/>
  <c r="I25" i="16"/>
  <c r="AU2" i="16"/>
  <c r="AX35" i="16" s="1"/>
  <c r="K13" i="16"/>
  <c r="G26" i="16"/>
  <c r="J26" i="16" s="1"/>
  <c r="C67" i="16"/>
  <c r="C137" i="16"/>
  <c r="C143" i="16" s="1"/>
  <c r="C122" i="16"/>
  <c r="D106" i="16"/>
  <c r="D113" i="16" s="1"/>
  <c r="D95" i="16"/>
  <c r="C80" i="16"/>
  <c r="BK2" i="16"/>
  <c r="C66" i="16"/>
  <c r="C68" i="16" s="1"/>
  <c r="D141" i="16"/>
  <c r="D143" i="16" s="1"/>
  <c r="D122" i="16"/>
  <c r="D128" i="16" s="1"/>
  <c r="B127" i="16"/>
  <c r="F23" i="16"/>
  <c r="D91" i="16"/>
  <c r="D98" i="16" s="1"/>
  <c r="D76" i="16"/>
  <c r="D83" i="16" s="1"/>
  <c r="K14" i="16"/>
  <c r="AV2" i="16"/>
  <c r="D110" i="16"/>
  <c r="C111" i="16"/>
  <c r="C96" i="16"/>
  <c r="C98" i="16" s="1"/>
  <c r="D65" i="16"/>
  <c r="C112" i="16"/>
  <c r="C9" i="14"/>
  <c r="C76" i="16"/>
  <c r="I26" i="16"/>
  <c r="J28" i="16"/>
  <c r="D63" i="16"/>
  <c r="C126" i="16"/>
  <c r="C110" i="16"/>
  <c r="C113" i="16" s="1"/>
  <c r="J7" i="16"/>
  <c r="G24" i="16"/>
  <c r="J18" i="16"/>
  <c r="F13" i="17"/>
  <c r="C12" i="17"/>
  <c r="F12" i="17" s="1"/>
  <c r="C6" i="17"/>
  <c r="F6" i="17" s="1"/>
  <c r="C10" i="17"/>
  <c r="F10" i="17" s="1"/>
  <c r="C7" i="17"/>
  <c r="F7" i="17" s="1"/>
  <c r="C11" i="17"/>
  <c r="F11" i="17" s="1"/>
  <c r="C8" i="17"/>
  <c r="F8" i="17" s="1"/>
  <c r="C9" i="17"/>
  <c r="F9" i="17" s="1"/>
  <c r="D144" i="16" l="1"/>
  <c r="D145" i="16" s="1"/>
  <c r="D146" i="16"/>
  <c r="D147" i="16"/>
  <c r="B87" i="16"/>
  <c r="B84" i="16"/>
  <c r="B86" i="16"/>
  <c r="C114" i="16"/>
  <c r="C115" i="16" s="1"/>
  <c r="C117" i="16"/>
  <c r="C116" i="16"/>
  <c r="B129" i="16"/>
  <c r="B131" i="16"/>
  <c r="B132" i="16"/>
  <c r="C128" i="16"/>
  <c r="E143" i="16"/>
  <c r="B147" i="16"/>
  <c r="B146" i="16"/>
  <c r="C72" i="16"/>
  <c r="C71" i="16"/>
  <c r="C69" i="16"/>
  <c r="C70" i="16" s="1"/>
  <c r="D132" i="16"/>
  <c r="D131" i="16"/>
  <c r="C144" i="16"/>
  <c r="C145" i="16" s="1"/>
  <c r="C146" i="16"/>
  <c r="C147" i="16"/>
  <c r="B72" i="16"/>
  <c r="B71" i="16"/>
  <c r="B69" i="16"/>
  <c r="D87" i="16"/>
  <c r="D86" i="16"/>
  <c r="AX22" i="16"/>
  <c r="AX26" i="16"/>
  <c r="Q28" i="17"/>
  <c r="Q31" i="17"/>
  <c r="Q30" i="17"/>
  <c r="Q29" i="17"/>
  <c r="Q32" i="17"/>
  <c r="Q26" i="17"/>
  <c r="Q27" i="17"/>
  <c r="R25" i="17"/>
  <c r="Q33" i="17"/>
  <c r="AX16" i="16"/>
  <c r="I24" i="16"/>
  <c r="B109" i="16"/>
  <c r="D117" i="16"/>
  <c r="D116" i="16"/>
  <c r="AX31" i="16"/>
  <c r="AX74" i="16"/>
  <c r="AX62" i="16"/>
  <c r="I23" i="16"/>
  <c r="AX29" i="16"/>
  <c r="AX43" i="16"/>
  <c r="AX72" i="16"/>
  <c r="AX54" i="16"/>
  <c r="AX24" i="16"/>
  <c r="AX38" i="16"/>
  <c r="AX44" i="16"/>
  <c r="AX13" i="16"/>
  <c r="AX27" i="16"/>
  <c r="AX20" i="16"/>
  <c r="AX67" i="16"/>
  <c r="AX47" i="16"/>
  <c r="AX11" i="16"/>
  <c r="AX23" i="16"/>
  <c r="AX36" i="16"/>
  <c r="AX71" i="16"/>
  <c r="B144" i="16" s="1"/>
  <c r="AX73" i="16"/>
  <c r="AX12" i="16"/>
  <c r="E94" i="16"/>
  <c r="B98" i="16"/>
  <c r="K11" i="16"/>
  <c r="H35" i="16"/>
  <c r="AE42" i="16" s="1"/>
  <c r="AX21" i="16"/>
  <c r="AX17" i="16"/>
  <c r="AX14" i="16"/>
  <c r="AX8" i="16"/>
  <c r="AX5" i="16"/>
  <c r="C124" i="16"/>
  <c r="E124" i="16" s="1"/>
  <c r="G36" i="16"/>
  <c r="J25" i="16"/>
  <c r="J24" i="16"/>
  <c r="AX68" i="16"/>
  <c r="AX25" i="16"/>
  <c r="AX6" i="16"/>
  <c r="D68" i="16"/>
  <c r="E68" i="16" s="1"/>
  <c r="AX59" i="16"/>
  <c r="AX19" i="16"/>
  <c r="AX40" i="16"/>
  <c r="AX33" i="16"/>
  <c r="AX32" i="16"/>
  <c r="AX50" i="16"/>
  <c r="AX42" i="16"/>
  <c r="G15" i="16"/>
  <c r="F15" i="16"/>
  <c r="H15" i="16"/>
  <c r="K17" i="16" s="1"/>
  <c r="AX4" i="16"/>
  <c r="C99" i="16"/>
  <c r="C100" i="16" s="1"/>
  <c r="C101" i="16"/>
  <c r="C102" i="16"/>
  <c r="AX41" i="16"/>
  <c r="AX69" i="16"/>
  <c r="AX70" i="16"/>
  <c r="AX61" i="16"/>
  <c r="AX48" i="16"/>
  <c r="AX55" i="16"/>
  <c r="AX60" i="16"/>
  <c r="AX56" i="16"/>
  <c r="AX15" i="16"/>
  <c r="AX30" i="16"/>
  <c r="D99" i="16"/>
  <c r="D100" i="16" s="1"/>
  <c r="D101" i="16"/>
  <c r="D102" i="16"/>
  <c r="AX46" i="16"/>
  <c r="AX63" i="16"/>
  <c r="AX7" i="16"/>
  <c r="AX66" i="16"/>
  <c r="AX64" i="16"/>
  <c r="AX58" i="16"/>
  <c r="AX34" i="16"/>
  <c r="AX53" i="16"/>
  <c r="AX49" i="16"/>
  <c r="AX18" i="16"/>
  <c r="AX45" i="16"/>
  <c r="C83" i="16"/>
  <c r="E83" i="16" s="1"/>
  <c r="BP36" i="16"/>
  <c r="BP54" i="16"/>
  <c r="BP18" i="16"/>
  <c r="BP38" i="16"/>
  <c r="D84" i="16" s="1"/>
  <c r="D85" i="16" s="1"/>
  <c r="BP69" i="16"/>
  <c r="BP33" i="16"/>
  <c r="BP56" i="16"/>
  <c r="BP43" i="16"/>
  <c r="BP52" i="16"/>
  <c r="BP65" i="16"/>
  <c r="BP28" i="16"/>
  <c r="BP58" i="16"/>
  <c r="BP14" i="16"/>
  <c r="BP21" i="16"/>
  <c r="BP11" i="16"/>
  <c r="BP74" i="16"/>
  <c r="BP47" i="16"/>
  <c r="D114" i="16" s="1"/>
  <c r="D115" i="16" s="1"/>
  <c r="BP62" i="16"/>
  <c r="BP73" i="16"/>
  <c r="BP40" i="16"/>
  <c r="BP72" i="16"/>
  <c r="BP61" i="16"/>
  <c r="BP32" i="16"/>
  <c r="BP7" i="16"/>
  <c r="BP50" i="16"/>
  <c r="BP64" i="16"/>
  <c r="BP42" i="16"/>
  <c r="BP27" i="16"/>
  <c r="BP5" i="16"/>
  <c r="BP9" i="16"/>
  <c r="BP41" i="16"/>
  <c r="BP20" i="16"/>
  <c r="BP19" i="16"/>
  <c r="BP34" i="16"/>
  <c r="BP37" i="16"/>
  <c r="BP67" i="16"/>
  <c r="BP44" i="16"/>
  <c r="BP8" i="16"/>
  <c r="BP29" i="16"/>
  <c r="BP10" i="16"/>
  <c r="BP55" i="16"/>
  <c r="D129" i="16" s="1"/>
  <c r="D130" i="16" s="1"/>
  <c r="BP63" i="16"/>
  <c r="BP30" i="16"/>
  <c r="BP22" i="16"/>
  <c r="BP26" i="16"/>
  <c r="BP16" i="16"/>
  <c r="BP48" i="16"/>
  <c r="BP13" i="16"/>
  <c r="BP60" i="16"/>
  <c r="BP12" i="16"/>
  <c r="BP70" i="16"/>
  <c r="BP6" i="16"/>
  <c r="BP35" i="16"/>
  <c r="BP68" i="16"/>
  <c r="BP39" i="16"/>
  <c r="BP4" i="16"/>
  <c r="BP51" i="16"/>
  <c r="BP57" i="16"/>
  <c r="BP25" i="16"/>
  <c r="BP71" i="16"/>
  <c r="BP59" i="16"/>
  <c r="BP49" i="16"/>
  <c r="BP17" i="16"/>
  <c r="BP46" i="16"/>
  <c r="BP53" i="16"/>
  <c r="BP45" i="16"/>
  <c r="BP15" i="16"/>
  <c r="BP66" i="16"/>
  <c r="BP24" i="16"/>
  <c r="BP23" i="16"/>
  <c r="BP31" i="16"/>
  <c r="AX65" i="16"/>
  <c r="AX37" i="16"/>
  <c r="AX39" i="16"/>
  <c r="E64" i="16"/>
  <c r="AX57" i="16"/>
  <c r="AX10" i="16"/>
  <c r="AX28" i="16"/>
  <c r="AX51" i="16"/>
  <c r="AX52" i="16"/>
  <c r="AX9" i="16"/>
  <c r="F14" i="17"/>
  <c r="E87" i="16" l="1"/>
  <c r="I57" i="15" s="1"/>
  <c r="D47" i="15" s="1"/>
  <c r="E86" i="16"/>
  <c r="E72" i="16"/>
  <c r="I56" i="15" s="1"/>
  <c r="D46" i="15" s="1"/>
  <c r="E71" i="16"/>
  <c r="B145" i="16"/>
  <c r="E144" i="16"/>
  <c r="E145" i="16" s="1"/>
  <c r="E109" i="16"/>
  <c r="B113" i="16"/>
  <c r="E146" i="16"/>
  <c r="E147" i="16"/>
  <c r="I61" i="15" s="1"/>
  <c r="D51" i="15" s="1"/>
  <c r="D36" i="15" s="1"/>
  <c r="F36" i="15" s="1"/>
  <c r="F44" i="15" s="1"/>
  <c r="B70" i="16"/>
  <c r="C132" i="16"/>
  <c r="C131" i="16"/>
  <c r="C129" i="16"/>
  <c r="C130" i="16" s="1"/>
  <c r="E84" i="16"/>
  <c r="E85" i="16" s="1"/>
  <c r="B85" i="16"/>
  <c r="AG42" i="16"/>
  <c r="AE43" i="16"/>
  <c r="R26" i="17"/>
  <c r="R32" i="17"/>
  <c r="R30" i="17"/>
  <c r="R29" i="17"/>
  <c r="R33" i="17"/>
  <c r="R28" i="17"/>
  <c r="S25" i="17"/>
  <c r="R31" i="17"/>
  <c r="R27" i="17"/>
  <c r="I17" i="16"/>
  <c r="F35" i="16"/>
  <c r="U42" i="16" s="1"/>
  <c r="B99" i="16"/>
  <c r="B101" i="16"/>
  <c r="B102" i="16"/>
  <c r="E98" i="16"/>
  <c r="E128" i="16"/>
  <c r="B130" i="16"/>
  <c r="J17" i="16"/>
  <c r="G35" i="16"/>
  <c r="Z42" i="16" s="1"/>
  <c r="D71" i="16"/>
  <c r="D72" i="16"/>
  <c r="D69" i="16"/>
  <c r="D70" i="16" s="1"/>
  <c r="C86" i="16"/>
  <c r="C84" i="16"/>
  <c r="C85" i="16" s="1"/>
  <c r="C87" i="16"/>
  <c r="B114" i="16" l="1"/>
  <c r="B117" i="16"/>
  <c r="B116" i="16"/>
  <c r="E113" i="16"/>
  <c r="Z43" i="16"/>
  <c r="AB42" i="16"/>
  <c r="W42" i="16"/>
  <c r="U43" i="16"/>
  <c r="E129" i="16"/>
  <c r="E130" i="16" s="1"/>
  <c r="E69" i="16"/>
  <c r="E70" i="16" s="1"/>
  <c r="E131" i="16"/>
  <c r="E132" i="16"/>
  <c r="I60" i="15" s="1"/>
  <c r="D50" i="15" s="1"/>
  <c r="AE44" i="16"/>
  <c r="AG43" i="16"/>
  <c r="B100" i="16"/>
  <c r="E99" i="16"/>
  <c r="E100" i="16" s="1"/>
  <c r="G44" i="15"/>
  <c r="F18" i="17" s="1"/>
  <c r="F20" i="17" s="1"/>
  <c r="F22" i="17" s="1"/>
  <c r="B2" i="15"/>
  <c r="C1" i="15" s="1"/>
  <c r="C32" i="14" s="1"/>
  <c r="J38" i="15"/>
  <c r="C34" i="14" s="1"/>
  <c r="E102" i="16"/>
  <c r="I58" i="15" s="1"/>
  <c r="D48" i="15" s="1"/>
  <c r="E101" i="16"/>
  <c r="S31" i="17"/>
  <c r="S30" i="17"/>
  <c r="S29" i="17"/>
  <c r="S32" i="17"/>
  <c r="S28" i="17"/>
  <c r="S33" i="17"/>
  <c r="S27" i="17"/>
  <c r="T25" i="17"/>
  <c r="S26" i="17"/>
  <c r="AH43" i="16"/>
  <c r="C35" i="14"/>
  <c r="F24" i="17"/>
  <c r="C33" i="14" s="1"/>
  <c r="T29" i="17" l="1"/>
  <c r="T27" i="17"/>
  <c r="T30" i="17"/>
  <c r="U25" i="17"/>
  <c r="T26" i="17"/>
  <c r="T32" i="17"/>
  <c r="T33" i="17"/>
  <c r="T28" i="17"/>
  <c r="T31" i="17"/>
  <c r="AE45" i="16"/>
  <c r="AG44" i="16"/>
  <c r="AB43" i="16"/>
  <c r="Z44" i="16"/>
  <c r="E117" i="16"/>
  <c r="I59" i="15" s="1"/>
  <c r="D49" i="15" s="1"/>
  <c r="E116" i="16"/>
  <c r="U44" i="16"/>
  <c r="W43" i="16"/>
  <c r="B115" i="16"/>
  <c r="E114" i="16"/>
  <c r="E115" i="16" s="1"/>
  <c r="AB44" i="16" l="1"/>
  <c r="AC44" i="16" s="1"/>
  <c r="Z45" i="16"/>
  <c r="U31" i="17"/>
  <c r="V25" i="17"/>
  <c r="U27" i="17"/>
  <c r="U32" i="17"/>
  <c r="U33" i="17"/>
  <c r="U29" i="17"/>
  <c r="U30" i="17"/>
  <c r="U26" i="17"/>
  <c r="U28" i="17"/>
  <c r="AG45" i="16"/>
  <c r="AE46" i="16"/>
  <c r="AC43" i="16"/>
  <c r="W44" i="16"/>
  <c r="X44" i="16" s="1"/>
  <c r="U45" i="16"/>
  <c r="AH44" i="16"/>
  <c r="X43" i="16"/>
  <c r="U46" i="16" l="1"/>
  <c r="W45" i="16"/>
  <c r="AE47" i="16"/>
  <c r="AG46" i="16"/>
  <c r="AH46" i="16" s="1"/>
  <c r="V30" i="17"/>
  <c r="V32" i="17"/>
  <c r="V31" i="17"/>
  <c r="W25" i="17"/>
  <c r="V28" i="17"/>
  <c r="V33" i="17"/>
  <c r="V26" i="17"/>
  <c r="V27" i="17"/>
  <c r="V29" i="17"/>
  <c r="Z46" i="16"/>
  <c r="AB45" i="16"/>
  <c r="AH45" i="16"/>
  <c r="AB46" i="16" l="1"/>
  <c r="Z47" i="16"/>
  <c r="AE48" i="16"/>
  <c r="AG47" i="16"/>
  <c r="X45" i="16"/>
  <c r="AC45" i="16"/>
  <c r="W33" i="17"/>
  <c r="X25" i="17"/>
  <c r="W31" i="17"/>
  <c r="W26" i="17"/>
  <c r="W30" i="17"/>
  <c r="W32" i="17"/>
  <c r="W29" i="17"/>
  <c r="W28" i="17"/>
  <c r="W27" i="17"/>
  <c r="U47" i="16"/>
  <c r="W46" i="16"/>
  <c r="X46" i="16" s="1"/>
  <c r="AG48" i="16" l="1"/>
  <c r="AE49" i="16"/>
  <c r="U48" i="16"/>
  <c r="W47" i="16"/>
  <c r="X28" i="17"/>
  <c r="X27" i="17"/>
  <c r="X33" i="17"/>
  <c r="X32" i="17"/>
  <c r="X31" i="17"/>
  <c r="X30" i="17"/>
  <c r="Y25" i="17"/>
  <c r="X26" i="17"/>
  <c r="X29" i="17"/>
  <c r="Z48" i="16"/>
  <c r="AB47" i="16"/>
  <c r="AH47" i="16"/>
  <c r="AC46" i="16"/>
  <c r="X47" i="16" l="1"/>
  <c r="Y33" i="17"/>
  <c r="Y26" i="17"/>
  <c r="Y30" i="17"/>
  <c r="Y32" i="17"/>
  <c r="Y31" i="17"/>
  <c r="Z25" i="17"/>
  <c r="Y29" i="17"/>
  <c r="Y28" i="17"/>
  <c r="Y27" i="17"/>
  <c r="AE50" i="16"/>
  <c r="AG49" i="16"/>
  <c r="AB48" i="16"/>
  <c r="Z49" i="16"/>
  <c r="U49" i="16"/>
  <c r="W48" i="16"/>
  <c r="AC47" i="16"/>
  <c r="AH48" i="16"/>
  <c r="AB49" i="16" l="1"/>
  <c r="AC49" i="16" s="1"/>
  <c r="Z50" i="16"/>
  <c r="AA25" i="17"/>
  <c r="Z28" i="17"/>
  <c r="Z29" i="17"/>
  <c r="Z27" i="17"/>
  <c r="Z33" i="17"/>
  <c r="Z32" i="17"/>
  <c r="Z31" i="17"/>
  <c r="Z26" i="17"/>
  <c r="Z30" i="17"/>
  <c r="AC48" i="16"/>
  <c r="AH49" i="16"/>
  <c r="AE51" i="16"/>
  <c r="AG50" i="16"/>
  <c r="AH50" i="16" s="1"/>
  <c r="X48" i="16"/>
  <c r="W49" i="16"/>
  <c r="U50" i="16"/>
  <c r="AA33" i="17" l="1"/>
  <c r="AA32" i="17"/>
  <c r="AA30" i="17"/>
  <c r="AA29" i="17"/>
  <c r="AA28" i="17"/>
  <c r="AB25" i="17"/>
  <c r="AA31" i="17"/>
  <c r="AA27" i="17"/>
  <c r="AA26" i="17"/>
  <c r="AG51" i="16"/>
  <c r="AH51" i="16" s="1"/>
  <c r="AE52" i="16"/>
  <c r="X49" i="16"/>
  <c r="U51" i="16"/>
  <c r="W50" i="16"/>
  <c r="Z51" i="16"/>
  <c r="AB50" i="16"/>
  <c r="AC50" i="16" s="1"/>
  <c r="U52" i="16" l="1"/>
  <c r="W51" i="16"/>
  <c r="X51" i="16" s="1"/>
  <c r="AB31" i="17"/>
  <c r="AB26" i="17"/>
  <c r="AB29" i="17"/>
  <c r="AB33" i="17"/>
  <c r="AB28" i="17"/>
  <c r="AB30" i="17"/>
  <c r="AC25" i="17"/>
  <c r="AB32" i="17"/>
  <c r="AB27" i="17"/>
  <c r="AE53" i="16"/>
  <c r="AG52" i="16"/>
  <c r="AB51" i="16"/>
  <c r="AC51" i="16" s="1"/>
  <c r="Z52" i="16"/>
  <c r="X50" i="16"/>
  <c r="Z53" i="16" l="1"/>
  <c r="AB53" i="16" s="1"/>
  <c r="AC54" i="16" s="1"/>
  <c r="AB52" i="16"/>
  <c r="AC53" i="16" s="1"/>
  <c r="AC55" i="16" s="1"/>
  <c r="AC28" i="17"/>
  <c r="AD25" i="17"/>
  <c r="AC30" i="17"/>
  <c r="AC29" i="17"/>
  <c r="AC26" i="17"/>
  <c r="AC32" i="17"/>
  <c r="AC33" i="17"/>
  <c r="AC31" i="17"/>
  <c r="AC27" i="17"/>
  <c r="AH52" i="16"/>
  <c r="AG53" i="16"/>
  <c r="AE54" i="16"/>
  <c r="U53" i="16"/>
  <c r="W53" i="16" s="1"/>
  <c r="W52" i="16"/>
  <c r="X53" i="16" l="1"/>
  <c r="X52" i="16"/>
  <c r="AE55" i="16"/>
  <c r="AG55" i="16" s="1"/>
  <c r="AG54" i="16"/>
  <c r="AH55" i="16" s="1"/>
  <c r="AD31" i="17"/>
  <c r="AD26" i="17"/>
  <c r="AD30" i="17"/>
  <c r="AD33" i="17"/>
  <c r="AD28" i="17"/>
  <c r="AD27" i="17"/>
  <c r="AD29" i="17"/>
  <c r="AD32" i="17"/>
  <c r="AE25" i="17"/>
  <c r="AC52" i="16"/>
  <c r="AH53" i="16"/>
  <c r="AE30" i="17" l="1"/>
  <c r="AE33" i="17"/>
  <c r="AE28" i="17"/>
  <c r="AE27" i="17"/>
  <c r="AE29" i="17"/>
  <c r="AE32" i="17"/>
  <c r="AE26" i="17"/>
  <c r="AE31" i="17"/>
  <c r="AH54"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Tom Eckman</author>
  </authors>
  <commentList>
    <comment ref="C69" authorId="0" shapeId="0" xr:uid="{00000000-0006-0000-0300-000001000000}">
      <text>
        <r>
          <rPr>
            <b/>
            <sz val="10"/>
            <color indexed="81"/>
            <rFont val="Tahoma"/>
          </rPr>
          <t xml:space="preserve"> Tom Eckman:</t>
        </r>
        <r>
          <rPr>
            <sz val="10"/>
            <color indexed="81"/>
            <rFont val="Tahoma"/>
          </rPr>
          <t xml:space="preserve">
Basement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 Eckman</author>
  </authors>
  <commentList>
    <comment ref="B40" authorId="0" shapeId="0" xr:uid="{00000000-0006-0000-0400-000001000000}">
      <text>
        <r>
          <rPr>
            <b/>
            <sz val="10"/>
            <color indexed="81"/>
            <rFont val="Tahoma"/>
          </rPr>
          <t>Tom Eckman:</t>
        </r>
        <r>
          <rPr>
            <sz val="10"/>
            <color indexed="81"/>
            <rFont val="Tahoma"/>
          </rPr>
          <t xml:space="preserve">
This climate zone selection changes the individual prototype use for cost-effectiveness analyis by measure</t>
        </r>
      </text>
    </comment>
  </commentList>
</comments>
</file>

<file path=xl/sharedStrings.xml><?xml version="1.0" encoding="utf-8"?>
<sst xmlns="http://schemas.openxmlformats.org/spreadsheetml/2006/main" count="1023" uniqueCount="348">
  <si>
    <t>UA</t>
  </si>
  <si>
    <t>Nominal Heat Pump Size</t>
  </si>
  <si>
    <t>Row</t>
  </si>
  <si>
    <t>Column</t>
  </si>
  <si>
    <t>Select Heat Pump Balance Point  (F)</t>
  </si>
  <si>
    <t>Btu sq ft multiplier</t>
  </si>
  <si>
    <t>Square Feet</t>
  </si>
  <si>
    <t>Total</t>
  </si>
  <si>
    <t>Vintage</t>
  </si>
  <si>
    <t>N</t>
  </si>
  <si>
    <t>Mean</t>
  </si>
  <si>
    <t>Std.Dev.</t>
  </si>
  <si>
    <t>Pre-76</t>
  </si>
  <si>
    <t>76-80</t>
  </si>
  <si>
    <t>80-86</t>
  </si>
  <si>
    <t>86-92</t>
  </si>
  <si>
    <t>92-2000</t>
  </si>
  <si>
    <t>2000+</t>
  </si>
  <si>
    <t>1980 - 1986</t>
  </si>
  <si>
    <t>1987 -1992</t>
  </si>
  <si>
    <t>1993 - 2000</t>
  </si>
  <si>
    <t>Post - 2000</t>
  </si>
  <si>
    <t>Code Z1</t>
  </si>
  <si>
    <t>Code Z2</t>
  </si>
  <si>
    <t>EStar-HP</t>
  </si>
  <si>
    <t>EStar-Zonal</t>
  </si>
  <si>
    <t>Wall R11</t>
  </si>
  <si>
    <t>ATTIC R11</t>
  </si>
  <si>
    <t>FLOOR R11</t>
  </si>
  <si>
    <t>AVG. EXISTING WINDOW</t>
  </si>
  <si>
    <t>DOOR R2.5</t>
  </si>
  <si>
    <t>INFILTRATION @ O.5 ACH</t>
  </si>
  <si>
    <t>BSMT WALL R11</t>
  </si>
  <si>
    <t>Total UA</t>
  </si>
  <si>
    <t>Avg.Size</t>
  </si>
  <si>
    <t xml:space="preserve">ATTIC R19 </t>
  </si>
  <si>
    <t>FLOOR R19</t>
  </si>
  <si>
    <t>CODE WINDOW CL40</t>
  </si>
  <si>
    <t>ATTIC R38</t>
  </si>
  <si>
    <t>FLOOR R30</t>
  </si>
  <si>
    <t>WINDOW CL30</t>
  </si>
  <si>
    <t>INFILTRATION @ O.4 ACH</t>
  </si>
  <si>
    <t>Weight</t>
  </si>
  <si>
    <t>UA/sq ft w/o Windows</t>
  </si>
  <si>
    <t>Average Existing UA in 2005</t>
  </si>
  <si>
    <t>UA @ Cost Effectiveness Limit in 2025</t>
  </si>
  <si>
    <t>UA Pre-1980 Partially Weatherized</t>
  </si>
  <si>
    <t>New Construction UAs</t>
  </si>
  <si>
    <t>House Size</t>
  </si>
  <si>
    <t>Heat Pump Field Research Results</t>
  </si>
  <si>
    <t>Heat Loss Rate (UA/sf) w/Windows</t>
  </si>
  <si>
    <t>UA/sq ft w/Windows</t>
  </si>
  <si>
    <t>Offset</t>
  </si>
  <si>
    <t>Offset (included in above)</t>
  </si>
  <si>
    <t>Pre-1976</t>
  </si>
  <si>
    <t>1976 -1979</t>
  </si>
  <si>
    <t xml:space="preserve">Enter Home Size (sq.ft.) </t>
  </si>
  <si>
    <t>Double Pane Vinyl or Wood Frame - Clear glass</t>
  </si>
  <si>
    <t>Double Pane Vinyl or Wood Frame - Low-e Glass</t>
  </si>
  <si>
    <t>NFRC Rated Window</t>
  </si>
  <si>
    <t>Single Pane w/ Metal Frame</t>
  </si>
  <si>
    <t>Double Pane w/ Metal Frame</t>
  </si>
  <si>
    <t>Double Pane w/ Thermally broken frame</t>
  </si>
  <si>
    <t>Total (Rounded)</t>
  </si>
  <si>
    <t>Window Area and UA</t>
  </si>
  <si>
    <t>Non-Window Area and UA</t>
  </si>
  <si>
    <t>Ceiling/Attic Insulation</t>
  </si>
  <si>
    <t>Floor Insulation</t>
  </si>
  <si>
    <t>Below Grade Wall Insulation</t>
  </si>
  <si>
    <t>Above Grade Wall Insulation</t>
  </si>
  <si>
    <t>R11</t>
  </si>
  <si>
    <t>R19</t>
  </si>
  <si>
    <t>R30</t>
  </si>
  <si>
    <t>R38</t>
  </si>
  <si>
    <t>R25</t>
  </si>
  <si>
    <t>850 sq ft Prototype Use</t>
  </si>
  <si>
    <t>2184 sq ft Prototype Use</t>
  </si>
  <si>
    <t>Prototype Measure Area</t>
  </si>
  <si>
    <t>Delta Cost</t>
  </si>
  <si>
    <t>Prototype</t>
  </si>
  <si>
    <t>Portland</t>
  </si>
  <si>
    <t>Seattle</t>
  </si>
  <si>
    <t>Boise</t>
  </si>
  <si>
    <t>Spokane</t>
  </si>
  <si>
    <t>Missoula</t>
  </si>
  <si>
    <t>Region</t>
  </si>
  <si>
    <t>Measure</t>
  </si>
  <si>
    <t>Uo</t>
  </si>
  <si>
    <t>850SF</t>
  </si>
  <si>
    <t>2184SF</t>
  </si>
  <si>
    <t>Delta UA</t>
  </si>
  <si>
    <t>$/Delta UA</t>
  </si>
  <si>
    <t>WALL R0</t>
  </si>
  <si>
    <t>WALL R11</t>
  </si>
  <si>
    <t>ATTIC 0</t>
  </si>
  <si>
    <t>ATTIC R30</t>
  </si>
  <si>
    <t>FLOOR R0</t>
  </si>
  <si>
    <t>ATTIC R49</t>
  </si>
  <si>
    <t>BSMT WALL R0</t>
  </si>
  <si>
    <t>BSMT WALL R21</t>
  </si>
  <si>
    <t>FLOOR R38</t>
  </si>
  <si>
    <t>WINDOW CL35</t>
  </si>
  <si>
    <t>DG Low E WINDOW CL35</t>
  </si>
  <si>
    <t>DOOR R5</t>
  </si>
  <si>
    <t>DG Low E WINDOW CL30</t>
  </si>
  <si>
    <t>Uninsulated UA</t>
  </si>
  <si>
    <t>Class 35</t>
  </si>
  <si>
    <t>Base Case Attic</t>
  </si>
  <si>
    <t>Class 30</t>
  </si>
  <si>
    <t>To optimize measure order after changing assumotions "Ctr o"</t>
  </si>
  <si>
    <t>Base Case Floor</t>
  </si>
  <si>
    <t>Cl40&gt;Cl30</t>
  </si>
  <si>
    <t>Base Case Wall</t>
  </si>
  <si>
    <t>Select Climate Zone</t>
  </si>
  <si>
    <t>Location Climate Data</t>
  </si>
  <si>
    <t xml:space="preserve">Spokane </t>
  </si>
  <si>
    <t>Selected Climate Weights =&gt;</t>
  </si>
  <si>
    <t>Heating Zone Weight Data</t>
  </si>
  <si>
    <t>Heating Zone 1</t>
  </si>
  <si>
    <t>Prototype Size (sq.ft.)</t>
  </si>
  <si>
    <t>Heating Zone 2</t>
  </si>
  <si>
    <t>Prototype Weight</t>
  </si>
  <si>
    <t>850 sq ft</t>
  </si>
  <si>
    <t>2184sq ft</t>
  </si>
  <si>
    <t>Heating Zone 3</t>
  </si>
  <si>
    <t>Installed Cost</t>
  </si>
  <si>
    <t>Use</t>
  </si>
  <si>
    <t>Savings</t>
  </si>
  <si>
    <t>PNW Region</t>
  </si>
  <si>
    <t>Base</t>
  </si>
  <si>
    <t>Heat Degree Days*</t>
  </si>
  <si>
    <t>*After selecting "Case", Procost must be re-run to update cost-effectiveness calculation for selected case.</t>
  </si>
  <si>
    <t>Mean Use (kwh/yr)</t>
  </si>
  <si>
    <t>Mean Use (kwh/sq ft/yr)</t>
  </si>
  <si>
    <t>UA/SF</t>
  </si>
  <si>
    <t>Non-window UA/SF</t>
  </si>
  <si>
    <t>INFILTRATION @ O.35 ACH</t>
  </si>
  <si>
    <t>Average Existing pre-76 UA - Assuming Heated Basement</t>
  </si>
  <si>
    <t>Average Existing UA for 1976 - 1980 - Assuming Heated Basement</t>
  </si>
  <si>
    <t>Average Existing UA for 1980 - 1986 - Assuming Heated Basement</t>
  </si>
  <si>
    <t>Average Existing UA for 1986 - 1992 - Assuming Heated Basement</t>
  </si>
  <si>
    <t>Average Existing UA for 1992 - 2000 - Assuming Heated Basement</t>
  </si>
  <si>
    <t>Average Existing UA for Post-2000 - Assuming Heated Basement</t>
  </si>
  <si>
    <t>WALL R21 STD</t>
  </si>
  <si>
    <t>2200SF</t>
  </si>
  <si>
    <t>2200 sq ft</t>
  </si>
  <si>
    <t>2200 sq ft Prototype Use</t>
  </si>
  <si>
    <t>WALL R19 STD</t>
  </si>
  <si>
    <t>WINDOW CL40</t>
  </si>
  <si>
    <t>BGWALL R19</t>
  </si>
  <si>
    <t>BGWALL R0</t>
  </si>
  <si>
    <t>BGWALL R11</t>
  </si>
  <si>
    <t>FLOOR R25</t>
  </si>
  <si>
    <t>R21</t>
  </si>
  <si>
    <t>Exterior Doors</t>
  </si>
  <si>
    <t>Wood</t>
  </si>
  <si>
    <t>Insulated Metal or Fiberglass</t>
  </si>
  <si>
    <t>North</t>
  </si>
  <si>
    <t>UA w/o Windows and floors</t>
  </si>
  <si>
    <t>Walls R-11</t>
  </si>
  <si>
    <t>Btus/sqft/F</t>
  </si>
  <si>
    <t>Attics R-11</t>
  </si>
  <si>
    <t>Attics R-19</t>
  </si>
  <si>
    <t>SHGC</t>
  </si>
  <si>
    <t>Attics R-30</t>
  </si>
  <si>
    <t>Walls R-19</t>
  </si>
  <si>
    <t>NE</t>
  </si>
  <si>
    <t>East</t>
  </si>
  <si>
    <t>South East</t>
  </si>
  <si>
    <t xml:space="preserve">South   </t>
  </si>
  <si>
    <t>South West</t>
  </si>
  <si>
    <t>West</t>
  </si>
  <si>
    <t>North West</t>
  </si>
  <si>
    <t xml:space="preserve"> </t>
  </si>
  <si>
    <t>SUMMARY OUTPUT</t>
  </si>
  <si>
    <t>Regression Statistics</t>
  </si>
  <si>
    <t>Multiple R</t>
  </si>
  <si>
    <t>R Square</t>
  </si>
  <si>
    <t>Adjusted R Square</t>
  </si>
  <si>
    <t>Standard Error</t>
  </si>
  <si>
    <t>Observations</t>
  </si>
  <si>
    <t>ANOVA</t>
  </si>
  <si>
    <t>Regression</t>
  </si>
  <si>
    <t>Residual</t>
  </si>
  <si>
    <t>Intercept</t>
  </si>
  <si>
    <t>df</t>
  </si>
  <si>
    <t>SS</t>
  </si>
  <si>
    <t>MS</t>
  </si>
  <si>
    <t>F</t>
  </si>
  <si>
    <t>Significance F</t>
  </si>
  <si>
    <t>Coefficients</t>
  </si>
  <si>
    <t>t Stat</t>
  </si>
  <si>
    <t>P-value</t>
  </si>
  <si>
    <t>Lower 95%</t>
  </si>
  <si>
    <t>Upper 95%</t>
  </si>
  <si>
    <t>Lower 95.0%</t>
  </si>
  <si>
    <t>Upper 95.0%</t>
  </si>
  <si>
    <t>X Variable 1</t>
  </si>
  <si>
    <t>X Variable 2</t>
  </si>
  <si>
    <t>X Variable 3</t>
  </si>
  <si>
    <t>X Variable 4</t>
  </si>
  <si>
    <t>X Variable 5</t>
  </si>
  <si>
    <t>X Variable 6</t>
  </si>
  <si>
    <t>NORTH</t>
  </si>
  <si>
    <t>SE</t>
  </si>
  <si>
    <t>South</t>
  </si>
  <si>
    <t>SW</t>
  </si>
  <si>
    <t>WEST</t>
  </si>
  <si>
    <t>Nw</t>
  </si>
  <si>
    <t>nwlr</t>
  </si>
  <si>
    <t>WINDOWS NON CONDUCTION BTUS/SQ FOOT SOLAR GAIN ONLY!</t>
  </si>
  <si>
    <t xml:space="preserve">Liner regresdsion for SHGC </t>
  </si>
  <si>
    <t xml:space="preserve">ATTICS AND WALLS </t>
  </si>
  <si>
    <t>MANUAL J NON CONDUCTIVE SOLAR ONLY LOAD PER SQ FOOT</t>
  </si>
  <si>
    <t xml:space="preserve">Select vintage that best matches home's insulation characteristics </t>
  </si>
  <si>
    <t>Duct Loss Adjustment =&gt;</t>
  </si>
  <si>
    <t>Slope</t>
  </si>
  <si>
    <t>North East</t>
  </si>
  <si>
    <t>Area</t>
  </si>
  <si>
    <t>Totals</t>
  </si>
  <si>
    <t>Window Orientation</t>
  </si>
  <si>
    <t>Internal Gains (BTU/HR)</t>
  </si>
  <si>
    <t>Delta T</t>
  </si>
  <si>
    <t>CAC Load Calculation</t>
  </si>
  <si>
    <t>Floor Offset</t>
  </si>
  <si>
    <t>Billings</t>
  </si>
  <si>
    <t>Bozeman</t>
  </si>
  <si>
    <t>Butte</t>
  </si>
  <si>
    <t>Cut Bank</t>
  </si>
  <si>
    <t>Glasgow</t>
  </si>
  <si>
    <t>Glendive</t>
  </si>
  <si>
    <t>Great Falls</t>
  </si>
  <si>
    <t>Havre</t>
  </si>
  <si>
    <t>Helena</t>
  </si>
  <si>
    <t>Kalispell</t>
  </si>
  <si>
    <t>Lewiston</t>
  </si>
  <si>
    <t>Livingston</t>
  </si>
  <si>
    <t>Burley</t>
  </si>
  <si>
    <t>Coeur D'Alene</t>
  </si>
  <si>
    <t>Moscow</t>
  </si>
  <si>
    <t>Mountain Home</t>
  </si>
  <si>
    <t>Pocatello</t>
  </si>
  <si>
    <t>Twin Falls</t>
  </si>
  <si>
    <t>Idaho Falls</t>
  </si>
  <si>
    <t>Albany</t>
  </si>
  <si>
    <t>Astoria</t>
  </si>
  <si>
    <t>Baker</t>
  </si>
  <si>
    <t>Bend</t>
  </si>
  <si>
    <t>Corvallis</t>
  </si>
  <si>
    <t>Eugene</t>
  </si>
  <si>
    <t>Grants Pass</t>
  </si>
  <si>
    <t>Klamath Falls</t>
  </si>
  <si>
    <t>Medford</t>
  </si>
  <si>
    <t>Pendleton</t>
  </si>
  <si>
    <t>Roseburg</t>
  </si>
  <si>
    <t>Salem</t>
  </si>
  <si>
    <t>The Dalles</t>
  </si>
  <si>
    <t>Aberdeen</t>
  </si>
  <si>
    <t>Bellingham</t>
  </si>
  <si>
    <t>Bremerton</t>
  </si>
  <si>
    <t>Ellensburg</t>
  </si>
  <si>
    <t>Everett</t>
  </si>
  <si>
    <t>Kennewick</t>
  </si>
  <si>
    <t>Longview</t>
  </si>
  <si>
    <t>Moses Lake</t>
  </si>
  <si>
    <t>Olympia</t>
  </si>
  <si>
    <t>Port Angeles</t>
  </si>
  <si>
    <t>Tacoma</t>
  </si>
  <si>
    <t>Walla Walla</t>
  </si>
  <si>
    <t>Yakima</t>
  </si>
  <si>
    <t>Wenatchee</t>
  </si>
  <si>
    <t>Location</t>
  </si>
  <si>
    <t>Cooling Design Temperature</t>
  </si>
  <si>
    <t>Lewiston, ID</t>
  </si>
  <si>
    <t>Lewiston, MT</t>
  </si>
  <si>
    <t>Heat Pump Size (Tons) - Heating</t>
  </si>
  <si>
    <t>Central Air Conditioner Size (Tons) - Cooling</t>
  </si>
  <si>
    <t>Solar Load From Windows</t>
  </si>
  <si>
    <t>Total Solar Load from Windows =&gt;</t>
  </si>
  <si>
    <t>Cooling Design Temperature for Selected Location (F)</t>
  </si>
  <si>
    <t>Cooling Design Delta-T for Selected Location (F)</t>
  </si>
  <si>
    <t>PTCS Heat Pump and Central Air Conditioner Sizing Calculator</t>
  </si>
  <si>
    <t>Total Window Area</t>
  </si>
  <si>
    <t>Building Conductive Gains, Less Floors (UA*DeltaT)</t>
  </si>
  <si>
    <t>Duct Losses</t>
  </si>
  <si>
    <t>Window Offset</t>
  </si>
  <si>
    <t>UA/SF net of windows</t>
  </si>
  <si>
    <t>Prototype UA/SF net of windows used in calc</t>
  </si>
  <si>
    <t>TOTAL Cooling LOADS =&gt;</t>
  </si>
  <si>
    <t>Central Cooling System Capacity</t>
  </si>
  <si>
    <t>Attics R-38</t>
  </si>
  <si>
    <t>Select Location=&gt;</t>
  </si>
  <si>
    <t>Window/Floor Area Ratio</t>
  </si>
  <si>
    <t>Use Manual J</t>
  </si>
  <si>
    <t>SOLAR LOAD ONLY FOR VARIOUS SHGC BASED ON LINEAR REGRESSION</t>
  </si>
  <si>
    <t>Project Location</t>
  </si>
  <si>
    <t>Contractor</t>
  </si>
  <si>
    <t>Technician</t>
  </si>
  <si>
    <t>Equipment Description</t>
  </si>
  <si>
    <t>Today's Date</t>
  </si>
  <si>
    <t>Enter Window Area by Orientation (sq.ft.)</t>
  </si>
  <si>
    <t>Note: This calculator is designed to address heat pump and central air conditioner sizing in most homes. However, when the calculator result indicates "Use Manual J" the characteristics of the home entered are outside the acceptable conditions for using this calculator users shall perform a full Manual J analysis.</t>
  </si>
  <si>
    <t>Cool</t>
  </si>
  <si>
    <t>Heat</t>
  </si>
  <si>
    <t>Heating Design Temperature</t>
  </si>
  <si>
    <t>Design Delta T</t>
  </si>
  <si>
    <t>Design Load</t>
  </si>
  <si>
    <t>Design Load - Heating (Btu/h)</t>
  </si>
  <si>
    <t>Design Load - Cooling (Btu/h)</t>
  </si>
  <si>
    <t>Step</t>
  </si>
  <si>
    <t>Action</t>
  </si>
  <si>
    <t>Cell(s) involved</t>
  </si>
  <si>
    <t>Enter project information</t>
  </si>
  <si>
    <t>B2,B3,B4,B5</t>
  </si>
  <si>
    <t>C7</t>
  </si>
  <si>
    <t>Enter the square footage of the conditioned space of the house</t>
  </si>
  <si>
    <t>C11</t>
  </si>
  <si>
    <t>for year built</t>
  </si>
  <si>
    <t>an older has had it's insulation levels upgraded enter a later date</t>
  </si>
  <si>
    <t>C10</t>
  </si>
  <si>
    <t xml:space="preserve">Enter the year the house was built: Notice that the insulation levels </t>
  </si>
  <si>
    <t xml:space="preserve"> change as you change the year the house was built.</t>
  </si>
  <si>
    <t>Select the window type from the pick list by clicking on cell</t>
  </si>
  <si>
    <t>Select project location with pick list by clicking on cell</t>
  </si>
  <si>
    <t>C17</t>
  </si>
  <si>
    <t>to enter the actual U value and SHGC in cells C19 and C20</t>
  </si>
  <si>
    <t>C22-C29</t>
  </si>
  <si>
    <t>C31</t>
  </si>
  <si>
    <t xml:space="preserve">Select the desired heat pump balance point (between 28F and 30F) </t>
  </si>
  <si>
    <t>with the pick list by clicking on cell</t>
  </si>
  <si>
    <t>The following outputs are calculated:</t>
  </si>
  <si>
    <t>Heat pump size in tons</t>
  </si>
  <si>
    <t>Air conditioner size in tons</t>
  </si>
  <si>
    <t>Heating design load BTU/hr</t>
  </si>
  <si>
    <t>C32</t>
  </si>
  <si>
    <t>C33</t>
  </si>
  <si>
    <t>C34</t>
  </si>
  <si>
    <t>C35</t>
  </si>
  <si>
    <t>The goal is to find the best match for any given house. Example: if</t>
  </si>
  <si>
    <t>Instructions For Using PTCS Calculator</t>
  </si>
  <si>
    <t>This spreadsheets calculates heat gain and heat loss as well as balance point for heat pumps. It is not recommended for home with</t>
  </si>
  <si>
    <t>no or little insulation and homes that have large amounts of glass (Homes whose window are exceeds 20% of the floor area)</t>
  </si>
  <si>
    <t>The only Tab the user needs to operate the spreadsheet is the Tab labeled "PTCS Sizing Calculator"</t>
  </si>
  <si>
    <t>If  you select a "NFRC listed window" the spreadsheet will allow the user</t>
  </si>
  <si>
    <t>The  square footages of all window by orientation</t>
  </si>
  <si>
    <t>Cooling design load  BTU/HR</t>
  </si>
  <si>
    <t>Calculator Version 3_7, Last Revised 09/29/11</t>
  </si>
  <si>
    <t xml:space="preserve">                                                                                                 Select Home's Window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</si>
</sst>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0.0"/>
    <numFmt numFmtId="165" formatCode="_(* #,##0.0_);_(* \(#,##0.0\);_(* &quot;-&quot;??_);_(@_)"/>
    <numFmt numFmtId="166" formatCode="_(* #,##0_);_(* \(#,##0\);_(* &quot;-&quot;??_);_(@_)"/>
    <numFmt numFmtId="167" formatCode="_(* #,##0.000_);_(* \(#,##0.000\);_(* &quot;-&quot;??_);_(@_)"/>
    <numFmt numFmtId="168" formatCode="0.000"/>
    <numFmt numFmtId="169" formatCode="_(&quot;$&quot;* #,##0_);_(&quot;$&quot;* \(#,##0\);_(&quot;$&quot;* &quot;-&quot;??_);_(@_)"/>
    <numFmt numFmtId="170" formatCode="General_)"/>
    <numFmt numFmtId="171" formatCode="_(* #,##0_);_(* \(#,##0\);_(* &quot;-&quot;?_);_(@_)"/>
  </numFmts>
  <fonts count="26" x14ac:knownFonts="1">
    <font>
      <sz val="10"/>
      <name val="Arial"/>
    </font>
    <font>
      <sz val="10"/>
      <name val="Arial"/>
    </font>
    <font>
      <b/>
      <sz val="14"/>
      <color indexed="9"/>
      <name val="Arial"/>
    </font>
    <font>
      <b/>
      <sz val="14"/>
      <color indexed="8"/>
      <name val="Arial"/>
    </font>
    <font>
      <sz val="12"/>
      <name val="Times New Roman"/>
      <family val="1"/>
    </font>
    <font>
      <sz val="10"/>
      <color indexed="81"/>
      <name val="Tahoma"/>
    </font>
    <font>
      <b/>
      <sz val="10"/>
      <color indexed="81"/>
      <name val="Tahoma"/>
    </font>
    <font>
      <sz val="10"/>
      <name val="Arial"/>
      <family val="2"/>
    </font>
    <font>
      <b/>
      <sz val="14"/>
      <name val="Arial"/>
    </font>
    <font>
      <sz val="10"/>
      <color indexed="46"/>
      <name val="Arial"/>
    </font>
    <font>
      <sz val="14"/>
      <color indexed="8"/>
      <name val="Arial"/>
      <family val="2"/>
    </font>
    <font>
      <sz val="12"/>
      <name val="Arial"/>
    </font>
    <font>
      <sz val="12"/>
      <name val="Courier"/>
    </font>
    <font>
      <sz val="8"/>
      <name val="Arial"/>
    </font>
    <font>
      <sz val="11"/>
      <name val="Arial"/>
      <family val="2"/>
    </font>
    <font>
      <sz val="11"/>
      <color indexed="12"/>
      <name val="Arial"/>
      <family val="2"/>
    </font>
    <font>
      <b/>
      <sz val="11"/>
      <name val="Arial"/>
      <family val="2"/>
    </font>
    <font>
      <b/>
      <sz val="11"/>
      <color indexed="36"/>
      <name val="Arial"/>
      <family val="2"/>
    </font>
    <font>
      <b/>
      <sz val="10"/>
      <name val="Arial"/>
      <family val="2"/>
    </font>
    <font>
      <sz val="10"/>
      <color indexed="12"/>
      <name val="Arial"/>
      <family val="2"/>
    </font>
    <font>
      <b/>
      <sz val="11"/>
      <name val="Arial"/>
    </font>
    <font>
      <i/>
      <sz val="10"/>
      <name val="Arial"/>
    </font>
    <font>
      <b/>
      <sz val="14"/>
      <name val="Arial"/>
      <family val="2"/>
    </font>
    <font>
      <b/>
      <sz val="14"/>
      <color indexed="8"/>
      <name val="Arial"/>
      <family val="2"/>
    </font>
    <font>
      <sz val="14"/>
      <name val="Arial"/>
      <family val="2"/>
    </font>
    <font>
      <b/>
      <sz val="12"/>
      <color indexed="8"/>
      <name val="Arial"/>
      <family val="2"/>
    </font>
  </fonts>
  <fills count="22">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42"/>
        <bgColor indexed="64"/>
      </patternFill>
    </fill>
    <fill>
      <patternFill patternType="solid">
        <fgColor indexed="13"/>
        <bgColor indexed="64"/>
      </patternFill>
    </fill>
    <fill>
      <patternFill patternType="solid">
        <fgColor indexed="15"/>
        <bgColor indexed="64"/>
      </patternFill>
    </fill>
    <fill>
      <patternFill patternType="solid">
        <fgColor indexed="53"/>
        <bgColor indexed="64"/>
      </patternFill>
    </fill>
    <fill>
      <patternFill patternType="solid">
        <fgColor indexed="50"/>
        <bgColor indexed="64"/>
      </patternFill>
    </fill>
    <fill>
      <patternFill patternType="solid">
        <fgColor indexed="24"/>
        <bgColor indexed="64"/>
      </patternFill>
    </fill>
    <fill>
      <patternFill patternType="solid">
        <fgColor indexed="34"/>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9"/>
        <bgColor indexed="24"/>
      </patternFill>
    </fill>
    <fill>
      <patternFill patternType="solid">
        <fgColor indexed="41"/>
        <bgColor indexed="64"/>
      </patternFill>
    </fill>
    <fill>
      <patternFill patternType="solid">
        <fgColor indexed="11"/>
        <bgColor indexed="64"/>
      </patternFill>
    </fill>
    <fill>
      <patternFill patternType="solid">
        <fgColor indexed="52"/>
        <bgColor indexed="64"/>
      </patternFill>
    </fill>
    <fill>
      <patternFill patternType="solid">
        <fgColor indexed="42"/>
        <bgColor indexed="24"/>
      </patternFill>
    </fill>
    <fill>
      <patternFill patternType="solid">
        <fgColor indexed="13"/>
        <bgColor indexed="24"/>
      </patternFill>
    </fill>
    <fill>
      <patternFill patternType="solid">
        <fgColor indexed="15"/>
        <bgColor indexed="24"/>
      </patternFill>
    </fill>
    <fill>
      <patternFill patternType="solid">
        <fgColor indexed="22"/>
        <bgColor indexed="2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0" fontId="7" fillId="2" borderId="0" applyNumberFormat="0" applyAlignment="0">
      <alignment horizontal="right"/>
    </xf>
    <xf numFmtId="0" fontId="1" fillId="3" borderId="0" applyNumberFormat="0" applyAlignment="0"/>
    <xf numFmtId="0" fontId="11" fillId="0" borderId="0"/>
    <xf numFmtId="0" fontId="11" fillId="0" borderId="0"/>
    <xf numFmtId="170" fontId="12" fillId="0" borderId="0"/>
    <xf numFmtId="0" fontId="11" fillId="0" borderId="0"/>
    <xf numFmtId="9" fontId="1" fillId="0" borderId="0" applyFont="0" applyFill="0" applyBorder="0" applyAlignment="0" applyProtection="0"/>
  </cellStyleXfs>
  <cellXfs count="218">
    <xf numFmtId="0" fontId="0" fillId="0" borderId="0" xfId="0"/>
    <xf numFmtId="0" fontId="0" fillId="0" borderId="1" xfId="0" applyBorder="1"/>
    <xf numFmtId="0" fontId="0" fillId="4" borderId="1" xfId="0" applyFill="1" applyBorder="1"/>
    <xf numFmtId="164" fontId="0" fillId="5" borderId="1" xfId="0" applyNumberFormat="1" applyFill="1" applyBorder="1"/>
    <xf numFmtId="164" fontId="0" fillId="4" borderId="1" xfId="0" applyNumberFormat="1" applyFill="1" applyBorder="1"/>
    <xf numFmtId="164" fontId="0" fillId="6" borderId="1" xfId="0" applyNumberFormat="1" applyFill="1" applyBorder="1"/>
    <xf numFmtId="164" fontId="0" fillId="7" borderId="1" xfId="0" applyNumberFormat="1" applyFill="1" applyBorder="1"/>
    <xf numFmtId="164" fontId="0" fillId="8" borderId="1" xfId="0" applyNumberFormat="1" applyFill="1" applyBorder="1"/>
    <xf numFmtId="164" fontId="0" fillId="9" borderId="1" xfId="0" applyNumberFormat="1" applyFill="1" applyBorder="1"/>
    <xf numFmtId="164" fontId="0" fillId="10" borderId="1" xfId="0" applyNumberFormat="1" applyFill="1" applyBorder="1"/>
    <xf numFmtId="164" fontId="0" fillId="0" borderId="1" xfId="0" applyNumberFormat="1" applyBorder="1"/>
    <xf numFmtId="0" fontId="0" fillId="0" borderId="2" xfId="0" applyBorder="1"/>
    <xf numFmtId="0" fontId="4" fillId="0" borderId="0" xfId="0" applyFont="1" applyFill="1" applyBorder="1" applyAlignment="1">
      <alignment vertical="top" wrapText="1"/>
    </xf>
    <xf numFmtId="2" fontId="0" fillId="0" borderId="0" xfId="0" applyNumberFormat="1"/>
    <xf numFmtId="1" fontId="0" fillId="0" borderId="1" xfId="0" applyNumberFormat="1" applyBorder="1"/>
    <xf numFmtId="166" fontId="0" fillId="0" borderId="1" xfId="0" applyNumberFormat="1" applyBorder="1"/>
    <xf numFmtId="2" fontId="0" fillId="0" borderId="1" xfId="0" applyNumberFormat="1" applyBorder="1"/>
    <xf numFmtId="2" fontId="0" fillId="5" borderId="1" xfId="0" applyNumberFormat="1" applyFill="1" applyBorder="1"/>
    <xf numFmtId="166" fontId="0" fillId="0" borderId="1" xfId="1" applyNumberFormat="1" applyFont="1" applyBorder="1"/>
    <xf numFmtId="43" fontId="0" fillId="5" borderId="1" xfId="1" applyNumberFormat="1" applyFont="1" applyFill="1" applyBorder="1"/>
    <xf numFmtId="9" fontId="0" fillId="0" borderId="0" xfId="9" applyFont="1"/>
    <xf numFmtId="9" fontId="0" fillId="0" borderId="1" xfId="9" applyFont="1" applyBorder="1"/>
    <xf numFmtId="0" fontId="7" fillId="0" borderId="1" xfId="0" applyFont="1" applyBorder="1" applyAlignment="1">
      <alignment horizontal="center" vertical="top" wrapText="1"/>
    </xf>
    <xf numFmtId="0" fontId="7" fillId="0" borderId="1" xfId="0" applyFont="1" applyBorder="1" applyAlignment="1">
      <alignment vertical="top" wrapText="1"/>
    </xf>
    <xf numFmtId="0" fontId="7" fillId="0" borderId="1" xfId="0" applyFont="1" applyFill="1" applyBorder="1" applyAlignment="1">
      <alignment vertical="top" wrapText="1"/>
    </xf>
    <xf numFmtId="43" fontId="0" fillId="0" borderId="1" xfId="0" applyNumberFormat="1" applyBorder="1"/>
    <xf numFmtId="43" fontId="0" fillId="6" borderId="1" xfId="0" applyNumberFormat="1" applyFill="1" applyBorder="1"/>
    <xf numFmtId="0" fontId="0" fillId="0" borderId="3" xfId="0" applyFill="1" applyBorder="1"/>
    <xf numFmtId="43" fontId="0" fillId="0" borderId="0" xfId="0" applyNumberFormat="1"/>
    <xf numFmtId="166" fontId="0" fillId="5" borderId="1" xfId="1" applyNumberFormat="1" applyFont="1" applyFill="1" applyBorder="1"/>
    <xf numFmtId="2" fontId="0" fillId="4" borderId="1" xfId="0" applyNumberFormat="1" applyFill="1" applyBorder="1"/>
    <xf numFmtId="43" fontId="0" fillId="4" borderId="1" xfId="0" applyNumberFormat="1" applyFill="1" applyBorder="1"/>
    <xf numFmtId="43" fontId="7" fillId="0" borderId="1" xfId="1" applyFont="1" applyBorder="1" applyAlignment="1">
      <alignment horizontal="center" vertical="top" wrapText="1"/>
    </xf>
    <xf numFmtId="167" fontId="7" fillId="0" borderId="1" xfId="1" applyNumberFormat="1" applyFont="1" applyBorder="1" applyAlignment="1">
      <alignment horizontal="center" vertical="top" wrapText="1"/>
    </xf>
    <xf numFmtId="0" fontId="0" fillId="11" borderId="1" xfId="0" applyFill="1" applyBorder="1"/>
    <xf numFmtId="0" fontId="0" fillId="11" borderId="1" xfId="0" applyFill="1" applyBorder="1" applyAlignment="1">
      <alignment wrapText="1"/>
    </xf>
    <xf numFmtId="0" fontId="0" fillId="12" borderId="1" xfId="0" applyNumberFormat="1" applyFill="1" applyBorder="1" applyAlignment="1">
      <alignment wrapText="1"/>
    </xf>
    <xf numFmtId="0" fontId="0" fillId="12" borderId="1" xfId="0" applyFill="1" applyBorder="1"/>
    <xf numFmtId="0" fontId="0" fillId="12" borderId="4" xfId="0" applyFill="1" applyBorder="1"/>
    <xf numFmtId="0" fontId="0" fillId="12" borderId="5" xfId="0" applyFill="1" applyBorder="1"/>
    <xf numFmtId="0" fontId="0" fillId="12" borderId="6" xfId="0" applyFill="1" applyBorder="1"/>
    <xf numFmtId="0" fontId="0" fillId="12" borderId="7" xfId="0" applyFill="1" applyBorder="1"/>
    <xf numFmtId="2" fontId="0" fillId="12" borderId="7" xfId="0" applyNumberFormat="1" applyFill="1" applyBorder="1" applyAlignment="1">
      <alignment wrapText="1"/>
    </xf>
    <xf numFmtId="0" fontId="0" fillId="12" borderId="7" xfId="0" applyFill="1" applyBorder="1" applyAlignment="1">
      <alignment wrapText="1"/>
    </xf>
    <xf numFmtId="0" fontId="0" fillId="12" borderId="8" xfId="0" applyFill="1" applyBorder="1"/>
    <xf numFmtId="2" fontId="0" fillId="12" borderId="9" xfId="0" applyNumberFormat="1" applyFill="1" applyBorder="1"/>
    <xf numFmtId="2" fontId="0" fillId="12" borderId="10" xfId="0" applyNumberFormat="1" applyFill="1" applyBorder="1"/>
    <xf numFmtId="0" fontId="9" fillId="13" borderId="11" xfId="0" applyFont="1" applyFill="1" applyBorder="1"/>
    <xf numFmtId="0" fontId="9" fillId="13" borderId="12" xfId="0" applyFont="1" applyFill="1" applyBorder="1"/>
    <xf numFmtId="0" fontId="9" fillId="13" borderId="13" xfId="0" applyFont="1" applyFill="1" applyBorder="1"/>
    <xf numFmtId="0" fontId="9" fillId="13" borderId="14" xfId="0" applyFont="1" applyFill="1" applyBorder="1"/>
    <xf numFmtId="0" fontId="9" fillId="13" borderId="15" xfId="0" applyFont="1" applyFill="1" applyBorder="1"/>
    <xf numFmtId="0" fontId="9" fillId="13" borderId="16" xfId="0" applyFont="1" applyFill="1" applyBorder="1"/>
    <xf numFmtId="0" fontId="7" fillId="14" borderId="17" xfId="0" applyFont="1" applyFill="1" applyBorder="1" applyAlignment="1">
      <alignment horizontal="center"/>
    </xf>
    <xf numFmtId="0" fontId="14" fillId="0" borderId="0" xfId="6" applyFont="1"/>
    <xf numFmtId="0" fontId="14" fillId="0" borderId="0" xfId="0" applyFont="1"/>
    <xf numFmtId="168" fontId="14" fillId="0" borderId="0" xfId="6" quotePrefix="1" applyNumberFormat="1" applyFont="1" applyAlignment="1" applyProtection="1">
      <alignment horizontal="left"/>
    </xf>
    <xf numFmtId="2" fontId="14" fillId="0" borderId="0" xfId="6" applyNumberFormat="1" applyFont="1"/>
    <xf numFmtId="169" fontId="14" fillId="0" borderId="0" xfId="2" applyNumberFormat="1" applyFont="1"/>
    <xf numFmtId="1" fontId="14" fillId="0" borderId="0" xfId="6" applyNumberFormat="1" applyFont="1"/>
    <xf numFmtId="170" fontId="14" fillId="0" borderId="0" xfId="7" applyFont="1"/>
    <xf numFmtId="9" fontId="15" fillId="0" borderId="0" xfId="0" applyNumberFormat="1" applyFont="1"/>
    <xf numFmtId="0" fontId="16" fillId="3" borderId="1" xfId="6" applyFont="1" applyFill="1" applyBorder="1"/>
    <xf numFmtId="2" fontId="16" fillId="3" borderId="1" xfId="6" applyNumberFormat="1" applyFont="1" applyFill="1" applyBorder="1"/>
    <xf numFmtId="0" fontId="16" fillId="3" borderId="10" xfId="6" applyFont="1" applyFill="1" applyBorder="1" applyAlignment="1">
      <alignment horizontal="center"/>
    </xf>
    <xf numFmtId="0" fontId="16" fillId="3" borderId="18" xfId="6" applyFont="1" applyFill="1" applyBorder="1" applyAlignment="1">
      <alignment horizontal="center"/>
    </xf>
    <xf numFmtId="0" fontId="17" fillId="3" borderId="1" xfId="5" applyFont="1" applyFill="1" applyBorder="1" applyAlignment="1">
      <alignment horizontal="center"/>
    </xf>
    <xf numFmtId="0" fontId="18" fillId="11" borderId="19" xfId="0" applyFont="1" applyFill="1" applyBorder="1"/>
    <xf numFmtId="0" fontId="16" fillId="3" borderId="1" xfId="5" applyFont="1" applyFill="1" applyBorder="1" applyAlignment="1">
      <alignment horizontal="center"/>
    </xf>
    <xf numFmtId="170" fontId="16" fillId="3" borderId="1" xfId="5" applyNumberFormat="1" applyFont="1" applyFill="1" applyBorder="1" applyAlignment="1" applyProtection="1">
      <alignment horizontal="center"/>
    </xf>
    <xf numFmtId="0" fontId="17" fillId="3" borderId="1" xfId="5" quotePrefix="1" applyFont="1" applyFill="1" applyBorder="1" applyAlignment="1">
      <alignment horizontal="center"/>
    </xf>
    <xf numFmtId="166" fontId="1" fillId="0" borderId="1" xfId="1" applyNumberFormat="1" applyBorder="1"/>
    <xf numFmtId="0" fontId="19" fillId="4" borderId="1" xfId="0" applyFont="1" applyFill="1" applyBorder="1"/>
    <xf numFmtId="1" fontId="14" fillId="5" borderId="0" xfId="8" applyNumberFormat="1" applyFont="1" applyFill="1"/>
    <xf numFmtId="0" fontId="14" fillId="0" borderId="1" xfId="6" quotePrefix="1" applyFont="1" applyBorder="1" applyAlignment="1" applyProtection="1">
      <alignment horizontal="left"/>
    </xf>
    <xf numFmtId="168" fontId="14" fillId="0" borderId="1" xfId="6" applyNumberFormat="1" applyFont="1" applyBorder="1"/>
    <xf numFmtId="170" fontId="14" fillId="0" borderId="1" xfId="6" quotePrefix="1" applyNumberFormat="1" applyFont="1" applyBorder="1" applyAlignment="1" applyProtection="1">
      <alignment horizontal="center"/>
    </xf>
    <xf numFmtId="1" fontId="14" fillId="0" borderId="1" xfId="6" applyNumberFormat="1" applyFont="1" applyBorder="1"/>
    <xf numFmtId="0" fontId="14" fillId="0" borderId="1" xfId="6" applyFont="1" applyBorder="1" applyAlignment="1" applyProtection="1">
      <alignment horizontal="left"/>
    </xf>
    <xf numFmtId="169" fontId="14" fillId="0" borderId="0" xfId="6" applyNumberFormat="1" applyFont="1"/>
    <xf numFmtId="0" fontId="14" fillId="0" borderId="1" xfId="6" applyFont="1" applyBorder="1" applyAlignment="1" applyProtection="1"/>
    <xf numFmtId="168" fontId="14" fillId="0" borderId="1" xfId="6" applyNumberFormat="1" applyFont="1" applyBorder="1" applyAlignment="1">
      <alignment horizontal="right"/>
    </xf>
    <xf numFmtId="0" fontId="14" fillId="0" borderId="1" xfId="6" quotePrefix="1" applyFont="1" applyBorder="1" applyAlignment="1">
      <alignment horizontal="left"/>
    </xf>
    <xf numFmtId="1" fontId="14" fillId="0" borderId="5" xfId="6" applyNumberFormat="1" applyFont="1" applyBorder="1"/>
    <xf numFmtId="0" fontId="14" fillId="3" borderId="1" xfId="6" applyFont="1" applyFill="1" applyBorder="1"/>
    <xf numFmtId="2" fontId="14" fillId="0" borderId="1" xfId="6" applyNumberFormat="1" applyFont="1" applyBorder="1"/>
    <xf numFmtId="168" fontId="14" fillId="0" borderId="0" xfId="6" applyNumberFormat="1" applyFont="1" applyAlignment="1" applyProtection="1">
      <alignment horizontal="left"/>
    </xf>
    <xf numFmtId="9" fontId="14" fillId="0" borderId="1" xfId="9" applyFont="1" applyBorder="1" applyAlignment="1" applyProtection="1">
      <alignment horizontal="center"/>
    </xf>
    <xf numFmtId="168" fontId="14" fillId="0" borderId="1" xfId="6" quotePrefix="1" applyNumberFormat="1" applyFont="1" applyBorder="1" applyAlignment="1" applyProtection="1">
      <alignment horizontal="center"/>
    </xf>
    <xf numFmtId="164" fontId="14" fillId="0" borderId="1" xfId="6" applyNumberFormat="1" applyFont="1" applyBorder="1"/>
    <xf numFmtId="0" fontId="16" fillId="3" borderId="20" xfId="6" applyFont="1" applyFill="1" applyBorder="1"/>
    <xf numFmtId="0" fontId="18" fillId="5" borderId="6" xfId="8" applyFont="1" applyFill="1" applyBorder="1"/>
    <xf numFmtId="0" fontId="18" fillId="11" borderId="19" xfId="8" applyFont="1" applyFill="1" applyBorder="1"/>
    <xf numFmtId="0" fontId="7" fillId="11" borderId="21" xfId="0" applyFont="1" applyFill="1" applyBorder="1"/>
    <xf numFmtId="0" fontId="14" fillId="0" borderId="1" xfId="6" applyFont="1" applyBorder="1"/>
    <xf numFmtId="0" fontId="18" fillId="5" borderId="8" xfId="8" applyFont="1" applyFill="1" applyBorder="1"/>
    <xf numFmtId="9" fontId="18" fillId="5" borderId="22" xfId="9" applyFont="1" applyFill="1" applyBorder="1"/>
    <xf numFmtId="9" fontId="18" fillId="5" borderId="23" xfId="9" applyFont="1" applyFill="1" applyBorder="1"/>
    <xf numFmtId="0" fontId="18" fillId="11" borderId="24" xfId="5" applyFont="1" applyFill="1" applyBorder="1" applyAlignment="1">
      <alignment horizontal="left"/>
    </xf>
    <xf numFmtId="9" fontId="18" fillId="11" borderId="5" xfId="9" applyFont="1" applyFill="1" applyBorder="1"/>
    <xf numFmtId="9" fontId="18" fillId="11" borderId="25" xfId="9" applyFont="1" applyFill="1" applyBorder="1"/>
    <xf numFmtId="0" fontId="18" fillId="11" borderId="7" xfId="5" applyFont="1" applyFill="1" applyBorder="1" applyAlignment="1">
      <alignment horizontal="right"/>
    </xf>
    <xf numFmtId="9" fontId="18" fillId="11" borderId="1" xfId="9" applyFont="1" applyFill="1" applyBorder="1"/>
    <xf numFmtId="9" fontId="18" fillId="11" borderId="26" xfId="9" applyFont="1" applyFill="1" applyBorder="1"/>
    <xf numFmtId="0" fontId="18" fillId="11" borderId="7" xfId="0" applyFont="1" applyFill="1" applyBorder="1" applyAlignment="1">
      <alignment horizontal="right"/>
    </xf>
    <xf numFmtId="2" fontId="19" fillId="0" borderId="0" xfId="0" applyNumberFormat="1" applyFont="1"/>
    <xf numFmtId="168" fontId="14" fillId="0" borderId="0" xfId="6" applyNumberFormat="1" applyFont="1"/>
    <xf numFmtId="0" fontId="18" fillId="11" borderId="27" xfId="0" applyFont="1" applyFill="1" applyBorder="1" applyAlignment="1">
      <alignment horizontal="right"/>
    </xf>
    <xf numFmtId="9" fontId="18" fillId="11" borderId="4" xfId="9" applyFont="1" applyFill="1" applyBorder="1"/>
    <xf numFmtId="9" fontId="18" fillId="11" borderId="28" xfId="9" applyFont="1" applyFill="1" applyBorder="1"/>
    <xf numFmtId="0" fontId="18" fillId="3" borderId="1" xfId="0" applyFont="1" applyFill="1" applyBorder="1"/>
    <xf numFmtId="1" fontId="18" fillId="3" borderId="4" xfId="9" applyNumberFormat="1" applyFont="1" applyFill="1" applyBorder="1"/>
    <xf numFmtId="9" fontId="18" fillId="3" borderId="28" xfId="9" applyFont="1" applyFill="1" applyBorder="1"/>
    <xf numFmtId="166" fontId="1" fillId="15" borderId="29" xfId="1" applyNumberFormat="1" applyFill="1" applyBorder="1"/>
    <xf numFmtId="166" fontId="1" fillId="15" borderId="22" xfId="1" applyNumberFormat="1" applyFill="1" applyBorder="1"/>
    <xf numFmtId="166" fontId="1" fillId="15" borderId="22" xfId="1" applyNumberFormat="1" applyFont="1" applyFill="1" applyBorder="1"/>
    <xf numFmtId="166" fontId="1" fillId="15" borderId="23" xfId="1" applyNumberFormat="1" applyFill="1" applyBorder="1"/>
    <xf numFmtId="164" fontId="0" fillId="0" borderId="0" xfId="0" applyNumberFormat="1"/>
    <xf numFmtId="9" fontId="14" fillId="0" borderId="1" xfId="9" applyFont="1" applyBorder="1"/>
    <xf numFmtId="1" fontId="14" fillId="3" borderId="1" xfId="6" applyNumberFormat="1" applyFont="1" applyFill="1" applyBorder="1"/>
    <xf numFmtId="0" fontId="14" fillId="3" borderId="1" xfId="6" quotePrefix="1" applyFont="1" applyFill="1" applyBorder="1" applyAlignment="1">
      <alignment horizontal="left"/>
    </xf>
    <xf numFmtId="0" fontId="14" fillId="0" borderId="1" xfId="0" applyFont="1" applyBorder="1"/>
    <xf numFmtId="166" fontId="14" fillId="11" borderId="1" xfId="1" quotePrefix="1" applyNumberFormat="1" applyFont="1" applyFill="1" applyBorder="1" applyAlignment="1">
      <alignment horizontal="left"/>
    </xf>
    <xf numFmtId="166" fontId="14" fillId="11" borderId="1" xfId="1" applyNumberFormat="1" applyFont="1" applyFill="1" applyBorder="1"/>
    <xf numFmtId="0" fontId="14" fillId="0" borderId="0" xfId="6" quotePrefix="1" applyFont="1" applyAlignment="1" applyProtection="1">
      <alignment horizontal="left"/>
    </xf>
    <xf numFmtId="43" fontId="14" fillId="0" borderId="0" xfId="1" applyFont="1"/>
    <xf numFmtId="166" fontId="14" fillId="0" borderId="0" xfId="1" applyNumberFormat="1" applyFont="1"/>
    <xf numFmtId="166" fontId="0" fillId="0" borderId="5" xfId="1" applyNumberFormat="1" applyFont="1" applyBorder="1"/>
    <xf numFmtId="0" fontId="0" fillId="0" borderId="5" xfId="0" applyBorder="1"/>
    <xf numFmtId="0" fontId="18" fillId="11" borderId="1" xfId="0" applyFont="1" applyFill="1" applyBorder="1"/>
    <xf numFmtId="43" fontId="14" fillId="0" borderId="0" xfId="1" applyNumberFormat="1" applyFont="1"/>
    <xf numFmtId="0" fontId="0" fillId="0" borderId="1" xfId="0" applyFill="1" applyBorder="1"/>
    <xf numFmtId="2" fontId="14" fillId="16" borderId="0" xfId="6" applyNumberFormat="1" applyFont="1" applyFill="1"/>
    <xf numFmtId="0" fontId="0" fillId="0" borderId="0" xfId="0" applyFill="1" applyBorder="1" applyAlignment="1"/>
    <xf numFmtId="0" fontId="0" fillId="0" borderId="30" xfId="0" applyFill="1" applyBorder="1" applyAlignment="1"/>
    <xf numFmtId="0" fontId="21" fillId="0" borderId="31" xfId="0" applyFont="1" applyFill="1" applyBorder="1" applyAlignment="1">
      <alignment horizontal="center"/>
    </xf>
    <xf numFmtId="0" fontId="21" fillId="0" borderId="31" xfId="0" applyFont="1" applyFill="1" applyBorder="1" applyAlignment="1">
      <alignment horizontal="centerContinuous"/>
    </xf>
    <xf numFmtId="0" fontId="0" fillId="11" borderId="0" xfId="0" applyFill="1"/>
    <xf numFmtId="0" fontId="0" fillId="11" borderId="0" xfId="0" applyFill="1" applyBorder="1" applyAlignment="1"/>
    <xf numFmtId="0" fontId="0" fillId="11" borderId="30" xfId="0" applyFill="1" applyBorder="1" applyAlignment="1"/>
    <xf numFmtId="43" fontId="0" fillId="12" borderId="1" xfId="1" applyFont="1" applyFill="1" applyBorder="1"/>
    <xf numFmtId="166" fontId="0" fillId="12" borderId="1" xfId="1" applyNumberFormat="1" applyFont="1" applyFill="1" applyBorder="1"/>
    <xf numFmtId="9" fontId="0" fillId="6" borderId="2" xfId="0" applyNumberFormat="1" applyFill="1" applyBorder="1"/>
    <xf numFmtId="0" fontId="0" fillId="3" borderId="1" xfId="0" applyFill="1" applyBorder="1"/>
    <xf numFmtId="43" fontId="0" fillId="3" borderId="1" xfId="1" applyFont="1" applyFill="1" applyBorder="1"/>
    <xf numFmtId="164" fontId="0" fillId="3" borderId="1" xfId="0" applyNumberFormat="1" applyFill="1" applyBorder="1"/>
    <xf numFmtId="0" fontId="0" fillId="17" borderId="1" xfId="0" applyFill="1" applyBorder="1"/>
    <xf numFmtId="43" fontId="0" fillId="0" borderId="1" xfId="1" applyFont="1" applyBorder="1"/>
    <xf numFmtId="0" fontId="0" fillId="11" borderId="10" xfId="0" applyFill="1" applyBorder="1"/>
    <xf numFmtId="0" fontId="0" fillId="12" borderId="3" xfId="0" applyFill="1" applyBorder="1"/>
    <xf numFmtId="171" fontId="0" fillId="12" borderId="3" xfId="0" applyNumberFormat="1" applyFill="1" applyBorder="1"/>
    <xf numFmtId="0" fontId="0" fillId="0" borderId="1" xfId="0" applyBorder="1" applyAlignment="1">
      <alignment wrapText="1"/>
    </xf>
    <xf numFmtId="0" fontId="18" fillId="0" borderId="0" xfId="0" applyFont="1"/>
    <xf numFmtId="166" fontId="18" fillId="5" borderId="2" xfId="0" applyNumberFormat="1" applyFont="1" applyFill="1" applyBorder="1"/>
    <xf numFmtId="167" fontId="0" fillId="0" borderId="0" xfId="1" applyNumberFormat="1" applyFont="1"/>
    <xf numFmtId="166" fontId="0" fillId="0" borderId="0" xfId="1" applyNumberFormat="1" applyFont="1"/>
    <xf numFmtId="0" fontId="0" fillId="3" borderId="4" xfId="0" applyFill="1" applyBorder="1" applyAlignment="1">
      <alignment wrapText="1"/>
    </xf>
    <xf numFmtId="0" fontId="0" fillId="3" borderId="4" xfId="0" applyFill="1" applyBorder="1"/>
    <xf numFmtId="166" fontId="0" fillId="0" borderId="4" xfId="0" applyNumberFormat="1" applyBorder="1"/>
    <xf numFmtId="2" fontId="0" fillId="12" borderId="32" xfId="0" applyNumberFormat="1" applyFill="1" applyBorder="1"/>
    <xf numFmtId="167" fontId="0" fillId="0" borderId="1" xfId="1" applyNumberFormat="1" applyFont="1" applyBorder="1"/>
    <xf numFmtId="2" fontId="8" fillId="0" borderId="17" xfId="0" applyNumberFormat="1" applyFont="1" applyFill="1" applyBorder="1" applyAlignment="1" applyProtection="1">
      <alignment horizontal="center"/>
      <protection locked="0"/>
    </xf>
    <xf numFmtId="0" fontId="0" fillId="0" borderId="4" xfId="0" applyFill="1" applyBorder="1"/>
    <xf numFmtId="0" fontId="0" fillId="0" borderId="4" xfId="0" applyBorder="1"/>
    <xf numFmtId="43" fontId="0" fillId="0" borderId="4" xfId="1" applyFont="1" applyBorder="1"/>
    <xf numFmtId="165" fontId="18" fillId="6" borderId="2" xfId="0" applyNumberFormat="1" applyFont="1" applyFill="1" applyBorder="1"/>
    <xf numFmtId="168" fontId="0" fillId="17" borderId="1" xfId="0" applyNumberFormat="1" applyFill="1" applyBorder="1"/>
    <xf numFmtId="0" fontId="22" fillId="0" borderId="2" xfId="0" applyFont="1" applyBorder="1" applyProtection="1"/>
    <xf numFmtId="0" fontId="2" fillId="14" borderId="17" xfId="0" applyFont="1" applyFill="1" applyBorder="1" applyAlignment="1" applyProtection="1">
      <alignment horizontal="center"/>
    </xf>
    <xf numFmtId="0" fontId="0" fillId="0" borderId="2" xfId="0" applyBorder="1" applyProtection="1"/>
    <xf numFmtId="1" fontId="8" fillId="18" borderId="2" xfId="0" applyNumberFormat="1" applyFont="1" applyFill="1" applyBorder="1" applyAlignment="1" applyProtection="1">
      <alignment horizontal="center"/>
    </xf>
    <xf numFmtId="1" fontId="8" fillId="18" borderId="17" xfId="0" applyNumberFormat="1" applyFont="1" applyFill="1" applyBorder="1" applyAlignment="1" applyProtection="1">
      <alignment horizontal="center"/>
    </xf>
    <xf numFmtId="0" fontId="8" fillId="18" borderId="17" xfId="0" applyFont="1" applyFill="1" applyBorder="1" applyAlignment="1" applyProtection="1">
      <alignment horizontal="center"/>
    </xf>
    <xf numFmtId="0" fontId="20" fillId="18" borderId="17" xfId="0" applyFont="1" applyFill="1" applyBorder="1" applyAlignment="1" applyProtection="1">
      <alignment horizontal="center" wrapText="1"/>
    </xf>
    <xf numFmtId="2" fontId="8" fillId="18" borderId="17" xfId="0" applyNumberFormat="1" applyFont="1" applyFill="1" applyBorder="1" applyAlignment="1" applyProtection="1">
      <alignment horizontal="center"/>
    </xf>
    <xf numFmtId="0" fontId="22" fillId="12" borderId="17" xfId="0" applyFont="1" applyFill="1" applyBorder="1" applyProtection="1">
      <protection locked="0"/>
    </xf>
    <xf numFmtId="0" fontId="22" fillId="4" borderId="2" xfId="0" applyFont="1" applyFill="1" applyBorder="1" applyProtection="1"/>
    <xf numFmtId="164" fontId="8" fillId="18" borderId="17" xfId="0" applyNumberFormat="1" applyFont="1" applyFill="1" applyBorder="1" applyAlignment="1" applyProtection="1">
      <alignment horizontal="center"/>
    </xf>
    <xf numFmtId="0" fontId="22" fillId="0" borderId="2" xfId="0" applyFont="1" applyFill="1" applyBorder="1" applyAlignment="1" applyProtection="1">
      <alignment horizontal="right"/>
    </xf>
    <xf numFmtId="14" fontId="22" fillId="0" borderId="2" xfId="0" applyNumberFormat="1" applyFont="1" applyFill="1" applyBorder="1" applyAlignment="1" applyProtection="1">
      <alignment horizontal="right"/>
    </xf>
    <xf numFmtId="2" fontId="8" fillId="0" borderId="2" xfId="0" applyNumberFormat="1" applyFont="1" applyFill="1" applyBorder="1" applyAlignment="1" applyProtection="1">
      <alignment horizontal="center"/>
      <protection locked="0"/>
    </xf>
    <xf numFmtId="166" fontId="0" fillId="16" borderId="2" xfId="1" applyNumberFormat="1" applyFont="1" applyFill="1" applyBorder="1"/>
    <xf numFmtId="166" fontId="8" fillId="18" borderId="17" xfId="1" applyNumberFormat="1" applyFont="1" applyFill="1" applyBorder="1" applyAlignment="1" applyProtection="1">
      <alignment horizontal="center"/>
    </xf>
    <xf numFmtId="0" fontId="8" fillId="19" borderId="17" xfId="0" applyFont="1" applyFill="1" applyBorder="1" applyAlignment="1" applyProtection="1">
      <alignment horizontal="center"/>
      <protection locked="0"/>
    </xf>
    <xf numFmtId="0" fontId="18" fillId="0" borderId="15" xfId="0" applyFont="1" applyFill="1" applyBorder="1" applyAlignment="1" applyProtection="1">
      <alignment horizontal="left"/>
    </xf>
    <xf numFmtId="0" fontId="8" fillId="20" borderId="33" xfId="0" applyFont="1" applyFill="1" applyBorder="1" applyAlignment="1" applyProtection="1">
      <alignment horizontal="center"/>
    </xf>
    <xf numFmtId="0" fontId="8" fillId="20" borderId="34" xfId="0" applyFont="1" applyFill="1" applyBorder="1" applyAlignment="1" applyProtection="1">
      <alignment horizontal="center"/>
    </xf>
    <xf numFmtId="0" fontId="8" fillId="20" borderId="17" xfId="0" applyFont="1" applyFill="1" applyBorder="1" applyAlignment="1" applyProtection="1">
      <alignment horizontal="center"/>
    </xf>
    <xf numFmtId="0" fontId="23" fillId="21" borderId="15" xfId="0" applyFont="1" applyFill="1" applyBorder="1" applyAlignment="1" applyProtection="1">
      <alignment horizontal="left"/>
    </xf>
    <xf numFmtId="0" fontId="3" fillId="21" borderId="30" xfId="0" applyFont="1" applyFill="1" applyBorder="1" applyAlignment="1" applyProtection="1">
      <alignment horizontal="left"/>
    </xf>
    <xf numFmtId="0" fontId="3" fillId="21" borderId="16" xfId="0" applyFont="1" applyFill="1" applyBorder="1" applyAlignment="1" applyProtection="1">
      <alignment horizontal="left"/>
    </xf>
    <xf numFmtId="0" fontId="3" fillId="21" borderId="33" xfId="0" applyFont="1" applyFill="1" applyBorder="1" applyAlignment="1" applyProtection="1">
      <alignment horizontal="right"/>
    </xf>
    <xf numFmtId="0" fontId="3" fillId="21" borderId="17" xfId="0" applyFont="1" applyFill="1" applyBorder="1" applyAlignment="1" applyProtection="1">
      <alignment horizontal="right"/>
    </xf>
    <xf numFmtId="0" fontId="24" fillId="5" borderId="33" xfId="0" applyFont="1" applyFill="1" applyBorder="1" applyAlignment="1" applyProtection="1">
      <alignment horizontal="right"/>
      <protection locked="0"/>
    </xf>
    <xf numFmtId="0" fontId="24" fillId="5" borderId="17" xfId="0" applyFont="1" applyFill="1" applyBorder="1" applyAlignment="1" applyProtection="1">
      <alignment horizontal="right"/>
      <protection locked="0"/>
    </xf>
    <xf numFmtId="0" fontId="3" fillId="21" borderId="11" xfId="0" applyFont="1" applyFill="1" applyBorder="1" applyAlignment="1" applyProtection="1">
      <alignment horizontal="right"/>
    </xf>
    <xf numFmtId="0" fontId="3" fillId="21" borderId="37" xfId="0" applyFont="1" applyFill="1" applyBorder="1" applyAlignment="1" applyProtection="1">
      <alignment horizontal="right"/>
    </xf>
    <xf numFmtId="0" fontId="3" fillId="21" borderId="12" xfId="0" applyFont="1" applyFill="1" applyBorder="1" applyAlignment="1" applyProtection="1">
      <alignment horizontal="right"/>
    </xf>
    <xf numFmtId="0" fontId="10" fillId="21" borderId="1" xfId="0" applyFont="1" applyFill="1" applyBorder="1" applyAlignment="1" applyProtection="1">
      <alignment horizontal="right"/>
    </xf>
    <xf numFmtId="0" fontId="23" fillId="18" borderId="35" xfId="0" applyFont="1" applyFill="1" applyBorder="1" applyAlignment="1" applyProtection="1">
      <alignment horizontal="right"/>
    </xf>
    <xf numFmtId="0" fontId="23" fillId="18" borderId="36" xfId="0" applyFont="1" applyFill="1" applyBorder="1" applyAlignment="1" applyProtection="1">
      <alignment horizontal="right"/>
    </xf>
    <xf numFmtId="0" fontId="25" fillId="0" borderId="33" xfId="0" applyFont="1" applyFill="1" applyBorder="1" applyAlignment="1" applyProtection="1">
      <alignment horizontal="left" wrapText="1"/>
    </xf>
    <xf numFmtId="0" fontId="25" fillId="0" borderId="34" xfId="0" applyFont="1" applyFill="1" applyBorder="1" applyAlignment="1" applyProtection="1">
      <alignment horizontal="left" wrapText="1"/>
    </xf>
    <xf numFmtId="0" fontId="25" fillId="0" borderId="17" xfId="0" applyFont="1" applyFill="1" applyBorder="1" applyAlignment="1" applyProtection="1">
      <alignment horizontal="left" wrapText="1"/>
    </xf>
    <xf numFmtId="0" fontId="3" fillId="18" borderId="33" xfId="0" applyFont="1" applyFill="1" applyBorder="1" applyAlignment="1" applyProtection="1">
      <alignment horizontal="right"/>
    </xf>
    <xf numFmtId="0" fontId="3" fillId="18" borderId="17" xfId="0" applyFont="1" applyFill="1" applyBorder="1" applyAlignment="1" applyProtection="1">
      <alignment horizontal="right"/>
    </xf>
    <xf numFmtId="0" fontId="10" fillId="18" borderId="1" xfId="0" applyFont="1" applyFill="1" applyBorder="1" applyAlignment="1" applyProtection="1">
      <alignment horizontal="right"/>
    </xf>
    <xf numFmtId="0" fontId="0" fillId="0" borderId="33" xfId="0" applyFill="1" applyBorder="1" applyAlignment="1">
      <alignment horizontal="right"/>
    </xf>
    <xf numFmtId="0" fontId="0" fillId="0" borderId="34" xfId="0" applyFill="1" applyBorder="1" applyAlignment="1">
      <alignment horizontal="right"/>
    </xf>
    <xf numFmtId="0" fontId="0" fillId="0" borderId="17" xfId="0" applyFill="1" applyBorder="1" applyAlignment="1">
      <alignment horizontal="right"/>
    </xf>
    <xf numFmtId="0" fontId="0" fillId="0" borderId="1" xfId="0" applyBorder="1" applyAlignment="1">
      <alignment horizontal="center" wrapText="1"/>
    </xf>
    <xf numFmtId="0" fontId="7" fillId="0" borderId="1" xfId="0" applyFont="1" applyBorder="1" applyAlignment="1">
      <alignment horizontal="center" vertical="top" wrapText="1"/>
    </xf>
    <xf numFmtId="0" fontId="14" fillId="6" borderId="11" xfId="6" applyFont="1" applyFill="1" applyBorder="1" applyAlignment="1">
      <alignment horizontal="center"/>
    </xf>
    <xf numFmtId="0" fontId="14" fillId="6" borderId="12" xfId="6" applyFont="1" applyFill="1" applyBorder="1" applyAlignment="1">
      <alignment horizontal="center"/>
    </xf>
    <xf numFmtId="0" fontId="18" fillId="11" borderId="33" xfId="5" applyFont="1" applyFill="1" applyBorder="1" applyAlignment="1">
      <alignment horizontal="left" wrapText="1"/>
    </xf>
    <xf numFmtId="0" fontId="18" fillId="11" borderId="34" xfId="5" applyFont="1" applyFill="1" applyBorder="1" applyAlignment="1">
      <alignment horizontal="left" wrapText="1"/>
    </xf>
    <xf numFmtId="0" fontId="18" fillId="11" borderId="17" xfId="5" applyFont="1" applyFill="1" applyBorder="1" applyAlignment="1">
      <alignment horizontal="left" wrapText="1"/>
    </xf>
    <xf numFmtId="0" fontId="16" fillId="3" borderId="38" xfId="6" applyFont="1" applyFill="1" applyBorder="1" applyAlignment="1">
      <alignment horizontal="center"/>
    </xf>
  </cellXfs>
  <cellStyles count="10">
    <cellStyle name="Comma" xfId="1" builtinId="3"/>
    <cellStyle name="Currency" xfId="2" builtinId="4"/>
    <cellStyle name="Data Field" xfId="3" xr:uid="{00000000-0005-0000-0000-000002000000}"/>
    <cellStyle name="Data Name" xfId="4" xr:uid="{00000000-0005-0000-0000-000003000000}"/>
    <cellStyle name="Normal" xfId="0" builtinId="0"/>
    <cellStyle name="Normal_ConMeasSingleFamily" xfId="5" xr:uid="{00000000-0005-0000-0000-000005000000}"/>
    <cellStyle name="Normal_Existing SingleFamily" xfId="6" xr:uid="{00000000-0005-0000-0000-000006000000}"/>
    <cellStyle name="Normal_Multifamily Use" xfId="7" xr:uid="{00000000-0005-0000-0000-000007000000}"/>
    <cellStyle name="Normal_New Single Family" xfId="8" xr:uid="{00000000-0005-0000-0000-000008000000}"/>
    <cellStyle name="Percent" xfId="9" builtinId="5"/>
  </cellStyles>
  <dxfs count="3">
    <dxf>
      <font>
        <b/>
        <i val="0"/>
        <condense val="0"/>
        <extend val="0"/>
        <color indexed="10"/>
      </font>
    </dxf>
    <dxf>
      <font>
        <b/>
        <i val="0"/>
        <condense val="0"/>
        <extend val="0"/>
        <color indexed="8"/>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linear"/>
            <c:dispRSqr val="1"/>
            <c:dispEq val="1"/>
            <c:trendlineLbl>
              <c:numFmt formatCode="General"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trendlineLbl>
          </c:trendline>
          <c:xVal>
            <c:numRef>
              <c:f>'HP Sizing Worksheet'!#REF!</c:f>
              <c:numCache>
                <c:formatCode>General</c:formatCode>
                <c:ptCount val="1"/>
                <c:pt idx="0">
                  <c:v>1</c:v>
                </c:pt>
              </c:numCache>
            </c:numRef>
          </c:xVal>
          <c:yVal>
            <c:numRef>
              <c:f>'HP Sizing Worksheet'!#REF!</c:f>
              <c:numCache>
                <c:formatCode>General</c:formatCode>
                <c:ptCount val="1"/>
                <c:pt idx="0">
                  <c:v>1</c:v>
                </c:pt>
              </c:numCache>
            </c:numRef>
          </c:yVal>
          <c:smooth val="0"/>
          <c:extLst>
            <c:ext xmlns:c16="http://schemas.microsoft.com/office/drawing/2014/chart" uri="{C3380CC4-5D6E-409C-BE32-E72D297353CC}">
              <c16:uniqueId val="{00000001-543A-4E5A-8925-809407A77B21}"/>
            </c:ext>
          </c:extLst>
        </c:ser>
        <c:dLbls>
          <c:showLegendKey val="0"/>
          <c:showVal val="0"/>
          <c:showCatName val="0"/>
          <c:showSerName val="0"/>
          <c:showPercent val="0"/>
          <c:showBubbleSize val="0"/>
        </c:dLbls>
        <c:axId val="84287488"/>
        <c:axId val="84289024"/>
      </c:scatterChart>
      <c:valAx>
        <c:axId val="84287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84289024"/>
        <c:crosses val="autoZero"/>
        <c:crossBetween val="midCat"/>
      </c:valAx>
      <c:valAx>
        <c:axId val="842890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84287488"/>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trlProps/ctrlProp1.xml><?xml version="1.0" encoding="utf-8"?>
<formControlPr xmlns="http://schemas.microsoft.com/office/spreadsheetml/2009/9/main" objectType="Drop" dropLines="11" dropStyle="combo" dx="16" fmlaLink="'HP Sizing Worksheet'!$C$2" fmlaRange="BPRange" sel="1" val="0"/>
</file>

<file path=xl/ctrlProps/ctrlProp2.xml><?xml version="1.0" encoding="utf-8"?>
<formControlPr xmlns="http://schemas.microsoft.com/office/spreadsheetml/2009/9/main" objectType="Drop" dropLines="6" dropStyle="combo" dx="16" fmlaLink="'HP Sizing Worksheet'!$D$45" fmlaRange="'HP Sizing Worksheet'!$C$46:$C$51" sel="6" val="0"/>
</file>

<file path=xl/ctrlProps/ctrlProp3.xml><?xml version="1.0" encoding="utf-8"?>
<formControlPr xmlns="http://schemas.microsoft.com/office/spreadsheetml/2009/9/main" objectType="Drop" dropLines="6" dropStyle="combo" dx="16" fmlaLink="'HP Sizing Worksheet'!$B$43" fmlaRange="'HP Sizing Worksheet'!$C$38:$C$43" sel="6" val="0"/>
</file>

<file path=xl/ctrlProps/ctrlProp4.xml><?xml version="1.0" encoding="utf-8"?>
<formControlPr xmlns="http://schemas.microsoft.com/office/spreadsheetml/2009/9/main" objectType="Drop" dropLines="20" dropStyle="combo" dx="16" fmlaLink="'CAC Sizing Worksheet'!$L$35" fmlaRange="'CAC Sizing Worksheet'!$K$37:$K$87" sel="41" val="31"/>
</file>

<file path=xl/ctrlProps/ctrlProp5.xml><?xml version="1.0" encoding="utf-8"?>
<formControlPr xmlns="http://schemas.microsoft.com/office/spreadsheetml/2009/9/main" objectType="Drop" dropLines="9" dropStyle="combo" dx="16" fmlaLink="$H$44" fmlaRange="'UA Optimizer'!$A$44:$A$52" sel="5" val="0"/>
</file>

<file path=xl/ctrlProps/ctrlProp6.xml><?xml version="1.0" encoding="utf-8"?>
<formControlPr xmlns="http://schemas.microsoft.com/office/spreadsheetml/2009/9/main" objectType="Drop" dropLines="9" dropStyle="combo" dx="16" fmlaLink="$A$53" fmlaRange="'UA Optimizer'!$A$44:$A$52" sel="4" val="0"/>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30</xdr:row>
          <xdr:rowOff>38100</xdr:rowOff>
        </xdr:from>
        <xdr:to>
          <xdr:col>2</xdr:col>
          <xdr:colOff>2733675</xdr:colOff>
          <xdr:row>31</xdr:row>
          <xdr:rowOff>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6589CEE3-EA11-4497-841A-92DD0255440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200025</xdr:rowOff>
        </xdr:from>
        <xdr:to>
          <xdr:col>3</xdr:col>
          <xdr:colOff>0</xdr:colOff>
          <xdr:row>10</xdr:row>
          <xdr:rowOff>228600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A7C80C0F-C632-4C65-80AE-AF3E288E9AA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19050</xdr:rowOff>
        </xdr:from>
        <xdr:to>
          <xdr:col>2</xdr:col>
          <xdr:colOff>2733675</xdr:colOff>
          <xdr:row>16</xdr:row>
          <xdr:rowOff>247650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C5E7259C-9078-44D3-AAFC-C03D6F771E7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47625</xdr:rowOff>
        </xdr:from>
        <xdr:to>
          <xdr:col>2</xdr:col>
          <xdr:colOff>2733675</xdr:colOff>
          <xdr:row>6</xdr:row>
          <xdr:rowOff>276225</xdr:rowOff>
        </xdr:to>
        <xdr:sp macro="" textlink="">
          <xdr:nvSpPr>
            <xdr:cNvPr id="2068" name="Drop Down 20" hidden="1">
              <a:extLst>
                <a:ext uri="{63B3BB69-23CF-44E3-9099-C40C66FF867C}">
                  <a14:compatExt spid="_x0000_s2068"/>
                </a:ext>
                <a:ext uri="{FF2B5EF4-FFF2-40B4-BE49-F238E27FC236}">
                  <a16:creationId xmlns:a16="http://schemas.microsoft.com/office/drawing/2014/main" id="{60D5B51F-2748-449F-B67B-9CA21D329CF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19</xdr:col>
      <xdr:colOff>590550</xdr:colOff>
      <xdr:row>0</xdr:row>
      <xdr:rowOff>0</xdr:rowOff>
    </xdr:from>
    <xdr:to>
      <xdr:col>30</xdr:col>
      <xdr:colOff>342900</xdr:colOff>
      <xdr:row>0</xdr:row>
      <xdr:rowOff>0</xdr:rowOff>
    </xdr:to>
    <xdr:graphicFrame macro="">
      <xdr:nvGraphicFramePr>
        <xdr:cNvPr id="1037" name="Chart 1">
          <a:extLst>
            <a:ext uri="{FF2B5EF4-FFF2-40B4-BE49-F238E27FC236}">
              <a16:creationId xmlns:a16="http://schemas.microsoft.com/office/drawing/2014/main" id="{00000000-0008-0000-0300-00000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257175</xdr:colOff>
          <xdr:row>38</xdr:row>
          <xdr:rowOff>171450</xdr:rowOff>
        </xdr:from>
        <xdr:to>
          <xdr:col>2</xdr:col>
          <xdr:colOff>419100</xdr:colOff>
          <xdr:row>40</xdr:row>
          <xdr:rowOff>0</xdr:rowOff>
        </xdr:to>
        <xdr:sp macro="" textlink="">
          <xdr:nvSpPr>
            <xdr:cNvPr id="3074" name="Drop Down 2" hidden="1">
              <a:extLst>
                <a:ext uri="{63B3BB69-23CF-44E3-9099-C40C66FF867C}">
                  <a14:compatExt spid="_x0000_s3074"/>
                </a:ext>
                <a:ext uri="{FF2B5EF4-FFF2-40B4-BE49-F238E27FC236}">
                  <a16:creationId xmlns:a16="http://schemas.microsoft.com/office/drawing/2014/main" id="{C60447AC-D7CA-445E-B03B-1A8D1780FB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38</xdr:row>
          <xdr:rowOff>171450</xdr:rowOff>
        </xdr:from>
        <xdr:to>
          <xdr:col>2</xdr:col>
          <xdr:colOff>419100</xdr:colOff>
          <xdr:row>40</xdr:row>
          <xdr:rowOff>0</xdr:rowOff>
        </xdr:to>
        <xdr:sp macro="" textlink="">
          <xdr:nvSpPr>
            <xdr:cNvPr id="3075" name="Drop Down 3" hidden="1">
              <a:extLst>
                <a:ext uri="{63B3BB69-23CF-44E3-9099-C40C66FF867C}">
                  <a14:compatExt spid="_x0000_s3075"/>
                </a:ext>
                <a:ext uri="{FF2B5EF4-FFF2-40B4-BE49-F238E27FC236}">
                  <a16:creationId xmlns:a16="http://schemas.microsoft.com/office/drawing/2014/main" id="{E5982153-D340-42C0-BE2E-A9DAA1F2B6E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11</xdr:col>
      <xdr:colOff>523875</xdr:colOff>
      <xdr:row>48</xdr:row>
      <xdr:rowOff>104775</xdr:rowOff>
    </xdr:to>
    <xdr:pic>
      <xdr:nvPicPr>
        <xdr:cNvPr id="6175" name="Picture 1">
          <a:extLst>
            <a:ext uri="{FF2B5EF4-FFF2-40B4-BE49-F238E27FC236}">
              <a16:creationId xmlns:a16="http://schemas.microsoft.com/office/drawing/2014/main" id="{00000000-0008-0000-0500-00001F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562600"/>
          <a:ext cx="9829800" cy="2371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11</xdr:col>
      <xdr:colOff>600075</xdr:colOff>
      <xdr:row>63</xdr:row>
      <xdr:rowOff>28575</xdr:rowOff>
    </xdr:to>
    <xdr:pic>
      <xdr:nvPicPr>
        <xdr:cNvPr id="6176" name="Picture 2">
          <a:extLst>
            <a:ext uri="{FF2B5EF4-FFF2-40B4-BE49-F238E27FC236}">
              <a16:creationId xmlns:a16="http://schemas.microsoft.com/office/drawing/2014/main" id="{00000000-0008-0000-0500-0000201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477250"/>
          <a:ext cx="9906000" cy="180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xdr:row>
      <xdr:rowOff>0</xdr:rowOff>
    </xdr:from>
    <xdr:to>
      <xdr:col>12</xdr:col>
      <xdr:colOff>219075</xdr:colOff>
      <xdr:row>82</xdr:row>
      <xdr:rowOff>0</xdr:rowOff>
    </xdr:to>
    <xdr:pic>
      <xdr:nvPicPr>
        <xdr:cNvPr id="6177" name="Picture 3">
          <a:extLst>
            <a:ext uri="{FF2B5EF4-FFF2-40B4-BE49-F238E27FC236}">
              <a16:creationId xmlns:a16="http://schemas.microsoft.com/office/drawing/2014/main" id="{00000000-0008-0000-0500-0000211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0582275"/>
          <a:ext cx="10134600" cy="275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84</xdr:row>
      <xdr:rowOff>0</xdr:rowOff>
    </xdr:from>
    <xdr:to>
      <xdr:col>12</xdr:col>
      <xdr:colOff>371475</xdr:colOff>
      <xdr:row>104</xdr:row>
      <xdr:rowOff>47625</xdr:rowOff>
    </xdr:to>
    <xdr:pic>
      <xdr:nvPicPr>
        <xdr:cNvPr id="6178" name="Picture 4">
          <a:extLst>
            <a:ext uri="{FF2B5EF4-FFF2-40B4-BE49-F238E27FC236}">
              <a16:creationId xmlns:a16="http://schemas.microsoft.com/office/drawing/2014/main" id="{00000000-0008-0000-0500-0000221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13658850"/>
          <a:ext cx="10287000" cy="3286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27</xdr:row>
      <xdr:rowOff>0</xdr:rowOff>
    </xdr:from>
    <xdr:to>
      <xdr:col>12</xdr:col>
      <xdr:colOff>257175</xdr:colOff>
      <xdr:row>32</xdr:row>
      <xdr:rowOff>123825</xdr:rowOff>
    </xdr:to>
    <xdr:pic>
      <xdr:nvPicPr>
        <xdr:cNvPr id="6179" name="Picture 5">
          <a:extLst>
            <a:ext uri="{FF2B5EF4-FFF2-40B4-BE49-F238E27FC236}">
              <a16:creationId xmlns:a16="http://schemas.microsoft.com/office/drawing/2014/main" id="{00000000-0008-0000-0500-00002318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4429125"/>
          <a:ext cx="1017270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36"/>
  <sheetViews>
    <sheetView workbookViewId="0">
      <selection activeCell="J8" sqref="J8"/>
    </sheetView>
  </sheetViews>
  <sheetFormatPr defaultRowHeight="12.75" x14ac:dyDescent="0.2"/>
  <cols>
    <col min="1" max="1" width="14.5703125" customWidth="1"/>
    <col min="10" max="10" width="14.42578125" customWidth="1"/>
  </cols>
  <sheetData>
    <row r="2" spans="1:10" x14ac:dyDescent="0.2">
      <c r="B2" t="s">
        <v>339</v>
      </c>
    </row>
    <row r="4" spans="1:10" x14ac:dyDescent="0.2">
      <c r="B4" t="s">
        <v>340</v>
      </c>
    </row>
    <row r="5" spans="1:10" x14ac:dyDescent="0.2">
      <c r="B5" t="s">
        <v>341</v>
      </c>
    </row>
    <row r="6" spans="1:10" x14ac:dyDescent="0.2">
      <c r="B6" t="s">
        <v>342</v>
      </c>
    </row>
    <row r="7" spans="1:10" x14ac:dyDescent="0.2">
      <c r="A7" t="s">
        <v>173</v>
      </c>
    </row>
    <row r="8" spans="1:10" x14ac:dyDescent="0.2">
      <c r="A8" t="s">
        <v>309</v>
      </c>
      <c r="B8" t="s">
        <v>310</v>
      </c>
      <c r="J8" t="s">
        <v>311</v>
      </c>
    </row>
    <row r="9" spans="1:10" x14ac:dyDescent="0.2">
      <c r="A9">
        <v>1</v>
      </c>
      <c r="B9" t="s">
        <v>312</v>
      </c>
      <c r="J9" t="s">
        <v>313</v>
      </c>
    </row>
    <row r="11" spans="1:10" x14ac:dyDescent="0.2">
      <c r="A11">
        <v>2</v>
      </c>
      <c r="B11" t="s">
        <v>323</v>
      </c>
      <c r="J11" t="s">
        <v>314</v>
      </c>
    </row>
    <row r="13" spans="1:10" x14ac:dyDescent="0.2">
      <c r="A13">
        <v>3</v>
      </c>
      <c r="B13" t="s">
        <v>315</v>
      </c>
      <c r="J13" t="s">
        <v>319</v>
      </c>
    </row>
    <row r="15" spans="1:10" x14ac:dyDescent="0.2">
      <c r="A15">
        <v>4</v>
      </c>
      <c r="B15" t="s">
        <v>320</v>
      </c>
      <c r="J15" t="s">
        <v>316</v>
      </c>
    </row>
    <row r="16" spans="1:10" x14ac:dyDescent="0.2">
      <c r="B16" t="s">
        <v>321</v>
      </c>
    </row>
    <row r="17" spans="1:10" x14ac:dyDescent="0.2">
      <c r="B17" t="s">
        <v>338</v>
      </c>
    </row>
    <row r="18" spans="1:10" x14ac:dyDescent="0.2">
      <c r="B18" t="s">
        <v>318</v>
      </c>
    </row>
    <row r="19" spans="1:10" x14ac:dyDescent="0.2">
      <c r="B19" t="s">
        <v>317</v>
      </c>
    </row>
    <row r="21" spans="1:10" x14ac:dyDescent="0.2">
      <c r="A21">
        <v>5</v>
      </c>
      <c r="B21" t="s">
        <v>322</v>
      </c>
      <c r="J21" t="s">
        <v>324</v>
      </c>
    </row>
    <row r="22" spans="1:10" x14ac:dyDescent="0.2">
      <c r="B22" t="s">
        <v>343</v>
      </c>
    </row>
    <row r="23" spans="1:10" x14ac:dyDescent="0.2">
      <c r="B23" t="s">
        <v>325</v>
      </c>
    </row>
    <row r="26" spans="1:10" x14ac:dyDescent="0.2">
      <c r="A26">
        <v>6</v>
      </c>
      <c r="B26" t="s">
        <v>344</v>
      </c>
      <c r="J26" t="s">
        <v>326</v>
      </c>
    </row>
    <row r="28" spans="1:10" x14ac:dyDescent="0.2">
      <c r="A28">
        <v>7</v>
      </c>
      <c r="B28" t="s">
        <v>328</v>
      </c>
      <c r="J28" t="s">
        <v>327</v>
      </c>
    </row>
    <row r="29" spans="1:10" x14ac:dyDescent="0.2">
      <c r="B29" t="s">
        <v>329</v>
      </c>
    </row>
    <row r="31" spans="1:10" x14ac:dyDescent="0.2">
      <c r="A31">
        <v>8</v>
      </c>
      <c r="B31" t="s">
        <v>330</v>
      </c>
    </row>
    <row r="33" spans="3:10" x14ac:dyDescent="0.2">
      <c r="C33" t="s">
        <v>331</v>
      </c>
      <c r="J33" t="s">
        <v>334</v>
      </c>
    </row>
    <row r="34" spans="3:10" x14ac:dyDescent="0.2">
      <c r="C34" t="s">
        <v>332</v>
      </c>
      <c r="J34" t="s">
        <v>335</v>
      </c>
    </row>
    <row r="35" spans="3:10" x14ac:dyDescent="0.2">
      <c r="C35" t="s">
        <v>333</v>
      </c>
      <c r="J35" t="s">
        <v>336</v>
      </c>
    </row>
    <row r="36" spans="3:10" x14ac:dyDescent="0.2">
      <c r="C36" t="s">
        <v>345</v>
      </c>
      <c r="J36" t="s">
        <v>337</v>
      </c>
    </row>
  </sheetData>
  <sheetProtection password="C4BA" sheet="1" objects="1" scenarios="1"/>
  <phoneticPr fontId="13" type="noConversion"/>
  <pageMargins left="0.75" right="0.75" top="1" bottom="1" header="0.5" footer="0.5"/>
  <pageSetup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I23"/>
  <sheetViews>
    <sheetView workbookViewId="0">
      <selection activeCell="P24" sqref="P24"/>
    </sheetView>
  </sheetViews>
  <sheetFormatPr defaultRowHeight="12.75" x14ac:dyDescent="0.2"/>
  <sheetData>
    <row r="1" spans="1:9" x14ac:dyDescent="0.2">
      <c r="A1" t="s">
        <v>174</v>
      </c>
    </row>
    <row r="2" spans="1:9" ht="13.5" thickBot="1" x14ac:dyDescent="0.25"/>
    <row r="3" spans="1:9" x14ac:dyDescent="0.2">
      <c r="A3" s="136" t="s">
        <v>175</v>
      </c>
      <c r="B3" s="136"/>
    </row>
    <row r="4" spans="1:9" x14ac:dyDescent="0.2">
      <c r="A4" s="133" t="s">
        <v>176</v>
      </c>
      <c r="B4" s="133">
        <v>0.99939456342059485</v>
      </c>
    </row>
    <row r="5" spans="1:9" x14ac:dyDescent="0.2">
      <c r="A5" s="133" t="s">
        <v>177</v>
      </c>
      <c r="B5" s="133">
        <v>0.9987894933946414</v>
      </c>
    </row>
    <row r="6" spans="1:9" x14ac:dyDescent="0.2">
      <c r="A6" s="133" t="s">
        <v>178</v>
      </c>
      <c r="B6" s="133">
        <v>-1.5</v>
      </c>
    </row>
    <row r="7" spans="1:9" x14ac:dyDescent="0.2">
      <c r="A7" s="133" t="s">
        <v>179</v>
      </c>
      <c r="B7" s="133">
        <v>0.87708434469293683</v>
      </c>
    </row>
    <row r="8" spans="1:9" ht="13.5" thickBot="1" x14ac:dyDescent="0.25">
      <c r="A8" s="134" t="s">
        <v>180</v>
      </c>
      <c r="B8" s="134">
        <v>1</v>
      </c>
    </row>
    <row r="10" spans="1:9" ht="13.5" thickBot="1" x14ac:dyDescent="0.25">
      <c r="A10" t="s">
        <v>181</v>
      </c>
    </row>
    <row r="11" spans="1:9" x14ac:dyDescent="0.2">
      <c r="A11" s="135"/>
      <c r="B11" s="135" t="s">
        <v>185</v>
      </c>
      <c r="C11" s="135" t="s">
        <v>186</v>
      </c>
      <c r="D11" s="135" t="s">
        <v>187</v>
      </c>
      <c r="E11" s="135" t="s">
        <v>188</v>
      </c>
      <c r="F11" s="135" t="s">
        <v>189</v>
      </c>
    </row>
    <row r="12" spans="1:9" x14ac:dyDescent="0.2">
      <c r="A12" s="133" t="s">
        <v>182</v>
      </c>
      <c r="B12" s="133">
        <v>6</v>
      </c>
      <c r="C12" s="133">
        <v>2538.9228922091784</v>
      </c>
      <c r="D12" s="133">
        <v>423.15381536819638</v>
      </c>
      <c r="E12" s="133">
        <v>3300.401630104936</v>
      </c>
      <c r="F12" s="133" t="e">
        <v>#NUM!</v>
      </c>
    </row>
    <row r="13" spans="1:9" x14ac:dyDescent="0.2">
      <c r="A13" s="133" t="s">
        <v>183</v>
      </c>
      <c r="B13" s="133">
        <v>4</v>
      </c>
      <c r="C13" s="133">
        <v>3.0771077908217537</v>
      </c>
      <c r="D13" s="133">
        <v>0.76927694770543842</v>
      </c>
      <c r="E13" s="133"/>
      <c r="F13" s="133"/>
    </row>
    <row r="14" spans="1:9" ht="13.5" thickBot="1" x14ac:dyDescent="0.25">
      <c r="A14" s="134" t="s">
        <v>7</v>
      </c>
      <c r="B14" s="134">
        <v>10</v>
      </c>
      <c r="C14" s="134">
        <v>2542</v>
      </c>
      <c r="D14" s="134"/>
      <c r="E14" s="134"/>
      <c r="F14" s="134"/>
    </row>
    <row r="15" spans="1:9" ht="13.5" thickBot="1" x14ac:dyDescent="0.25"/>
    <row r="16" spans="1:9" x14ac:dyDescent="0.2">
      <c r="A16" s="135"/>
      <c r="B16" s="135" t="s">
        <v>190</v>
      </c>
      <c r="C16" s="135" t="s">
        <v>179</v>
      </c>
      <c r="D16" s="135" t="s">
        <v>191</v>
      </c>
      <c r="E16" s="135" t="s">
        <v>192</v>
      </c>
      <c r="F16" s="135" t="s">
        <v>193</v>
      </c>
      <c r="G16" s="135" t="s">
        <v>194</v>
      </c>
      <c r="H16" s="135" t="s">
        <v>195</v>
      </c>
      <c r="I16" s="135" t="s">
        <v>196</v>
      </c>
    </row>
    <row r="17" spans="1:9" x14ac:dyDescent="0.2">
      <c r="A17" s="133" t="s">
        <v>184</v>
      </c>
      <c r="B17" s="133"/>
      <c r="C17" s="133"/>
      <c r="D17" s="133"/>
      <c r="E17" s="133"/>
      <c r="F17" s="133"/>
      <c r="G17" s="133"/>
      <c r="H17" s="133">
        <v>0</v>
      </c>
      <c r="I17" s="133">
        <v>0</v>
      </c>
    </row>
    <row r="18" spans="1:9" x14ac:dyDescent="0.2">
      <c r="A18" s="133" t="s">
        <v>197</v>
      </c>
      <c r="B18" s="133"/>
      <c r="C18" s="133"/>
      <c r="D18" s="133"/>
      <c r="E18" s="133"/>
      <c r="F18" s="133"/>
      <c r="G18" s="133"/>
      <c r="H18" s="133">
        <v>0.8090693154471218</v>
      </c>
      <c r="I18" s="133">
        <v>-1.7199551212060022</v>
      </c>
    </row>
    <row r="19" spans="1:9" x14ac:dyDescent="0.2">
      <c r="A19" s="133" t="s">
        <v>198</v>
      </c>
      <c r="B19" s="133"/>
      <c r="C19" s="133"/>
      <c r="D19" s="133"/>
      <c r="E19" s="133"/>
      <c r="F19" s="133"/>
      <c r="G19" s="133"/>
      <c r="H19" s="133">
        <v>-6.1421430497283977E-275</v>
      </c>
      <c r="I19" s="133">
        <v>1.3056927766282701E-274</v>
      </c>
    </row>
    <row r="20" spans="1:9" x14ac:dyDescent="0.2">
      <c r="A20" s="133" t="s">
        <v>199</v>
      </c>
      <c r="B20" s="133"/>
      <c r="C20" s="133"/>
      <c r="D20" s="133"/>
      <c r="E20" s="133"/>
      <c r="F20" s="133"/>
      <c r="G20" s="133"/>
      <c r="H20" s="133">
        <v>-9.407462866353535E+27</v>
      </c>
      <c r="I20" s="133">
        <v>-9.407462866353535E+27</v>
      </c>
    </row>
    <row r="21" spans="1:9" x14ac:dyDescent="0.2">
      <c r="A21" s="133" t="s">
        <v>200</v>
      </c>
      <c r="B21" s="133"/>
      <c r="C21" s="133"/>
      <c r="D21" s="133"/>
      <c r="E21" s="133"/>
      <c r="F21" s="133"/>
      <c r="G21" s="133"/>
      <c r="H21" s="133">
        <v>2.0777230026405169E+274</v>
      </c>
      <c r="I21" s="133">
        <v>2.0777230026405169E+274</v>
      </c>
    </row>
    <row r="22" spans="1:9" x14ac:dyDescent="0.2">
      <c r="A22" s="133" t="s">
        <v>201</v>
      </c>
      <c r="B22" s="133">
        <v>-0.45544290288152922</v>
      </c>
      <c r="C22" s="133">
        <v>1.3949821209301756</v>
      </c>
      <c r="D22" s="133">
        <v>-0.326486552084151</v>
      </c>
      <c r="E22" s="133">
        <v>0.76042486685729171</v>
      </c>
      <c r="F22" s="133">
        <v>-4.3285341841617377</v>
      </c>
      <c r="G22" s="133">
        <v>3.4176483783986789</v>
      </c>
      <c r="H22" s="133">
        <v>-4.3285341841617377</v>
      </c>
      <c r="I22" s="133">
        <v>3.4176483783986789</v>
      </c>
    </row>
    <row r="23" spans="1:9" ht="13.5" thickBot="1" x14ac:dyDescent="0.25">
      <c r="A23" s="134" t="s">
        <v>202</v>
      </c>
      <c r="B23" s="134">
        <v>142.55602988260404</v>
      </c>
      <c r="C23" s="134">
        <v>2.4814309543931028</v>
      </c>
      <c r="D23" s="134">
        <v>57.449122100384919</v>
      </c>
      <c r="E23" s="134">
        <v>5.4971921504303048E-7</v>
      </c>
      <c r="F23" s="134">
        <v>135.66647305577513</v>
      </c>
      <c r="G23" s="134">
        <v>149.44558670943294</v>
      </c>
      <c r="H23" s="134">
        <v>135.66647305577513</v>
      </c>
      <c r="I23" s="134">
        <v>149.44558670943294</v>
      </c>
    </row>
  </sheetData>
  <phoneticPr fontId="13"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2:I23"/>
  <sheetViews>
    <sheetView topLeftCell="A7" workbookViewId="0">
      <selection activeCell="P24" sqref="P24"/>
    </sheetView>
  </sheetViews>
  <sheetFormatPr defaultRowHeight="12.75" x14ac:dyDescent="0.2"/>
  <sheetData>
    <row r="2" spans="1:9" ht="13.5" thickBot="1" x14ac:dyDescent="0.25"/>
    <row r="3" spans="1:9" x14ac:dyDescent="0.2">
      <c r="A3" s="136" t="s">
        <v>175</v>
      </c>
      <c r="B3" s="136"/>
    </row>
    <row r="4" spans="1:9" x14ac:dyDescent="0.2">
      <c r="A4" s="133" t="s">
        <v>176</v>
      </c>
      <c r="B4" s="133">
        <v>0.99995822916898236</v>
      </c>
    </row>
    <row r="5" spans="1:9" x14ac:dyDescent="0.2">
      <c r="A5" s="133" t="s">
        <v>177</v>
      </c>
      <c r="B5" s="133">
        <v>0.99991646008276713</v>
      </c>
    </row>
    <row r="6" spans="1:9" x14ac:dyDescent="0.2">
      <c r="A6" s="133" t="s">
        <v>178</v>
      </c>
      <c r="B6" s="133">
        <v>-1.5</v>
      </c>
    </row>
    <row r="7" spans="1:9" x14ac:dyDescent="0.2">
      <c r="A7" s="133" t="s">
        <v>179</v>
      </c>
      <c r="B7" s="133">
        <v>0.17649347477515251</v>
      </c>
    </row>
    <row r="8" spans="1:9" ht="13.5" thickBot="1" x14ac:dyDescent="0.25">
      <c r="A8" s="134" t="s">
        <v>180</v>
      </c>
      <c r="B8" s="134">
        <v>1</v>
      </c>
    </row>
    <row r="10" spans="1:9" ht="13.5" thickBot="1" x14ac:dyDescent="0.25">
      <c r="A10" t="s">
        <v>181</v>
      </c>
    </row>
    <row r="11" spans="1:9" x14ac:dyDescent="0.2">
      <c r="A11" s="135"/>
      <c r="B11" s="135" t="s">
        <v>185</v>
      </c>
      <c r="C11" s="135" t="s">
        <v>186</v>
      </c>
      <c r="D11" s="135" t="s">
        <v>187</v>
      </c>
      <c r="E11" s="135" t="s">
        <v>188</v>
      </c>
      <c r="F11" s="135" t="s">
        <v>189</v>
      </c>
    </row>
    <row r="12" spans="1:9" x14ac:dyDescent="0.2">
      <c r="A12" s="133" t="s">
        <v>182</v>
      </c>
      <c r="B12" s="133">
        <v>6</v>
      </c>
      <c r="C12" s="133">
        <v>1491.3754002134472</v>
      </c>
      <c r="D12" s="133">
        <v>248.56256670224118</v>
      </c>
      <c r="E12" s="133">
        <v>47877.301927194327</v>
      </c>
      <c r="F12" s="133" t="e">
        <v>#NUM!</v>
      </c>
    </row>
    <row r="13" spans="1:9" x14ac:dyDescent="0.2">
      <c r="A13" s="133" t="s">
        <v>183</v>
      </c>
      <c r="B13" s="133">
        <v>4</v>
      </c>
      <c r="C13" s="133">
        <v>0.12459978655282956</v>
      </c>
      <c r="D13" s="133">
        <v>3.1149946638207391E-2</v>
      </c>
      <c r="E13" s="133"/>
      <c r="F13" s="133"/>
    </row>
    <row r="14" spans="1:9" ht="13.5" thickBot="1" x14ac:dyDescent="0.25">
      <c r="A14" s="134" t="s">
        <v>7</v>
      </c>
      <c r="B14" s="134">
        <v>10</v>
      </c>
      <c r="C14" s="134">
        <v>1491.5</v>
      </c>
      <c r="D14" s="134"/>
      <c r="E14" s="134"/>
      <c r="F14" s="134"/>
    </row>
    <row r="15" spans="1:9" ht="13.5" thickBot="1" x14ac:dyDescent="0.25"/>
    <row r="16" spans="1:9" x14ac:dyDescent="0.2">
      <c r="A16" s="135"/>
      <c r="B16" s="135" t="s">
        <v>190</v>
      </c>
      <c r="C16" s="135" t="s">
        <v>179</v>
      </c>
      <c r="D16" s="135" t="s">
        <v>191</v>
      </c>
      <c r="E16" s="135" t="s">
        <v>192</v>
      </c>
      <c r="F16" s="135" t="s">
        <v>193</v>
      </c>
      <c r="G16" s="135" t="s">
        <v>194</v>
      </c>
      <c r="H16" s="135" t="s">
        <v>195</v>
      </c>
      <c r="I16" s="135" t="s">
        <v>196</v>
      </c>
    </row>
    <row r="17" spans="1:9" x14ac:dyDescent="0.2">
      <c r="A17" s="133" t="s">
        <v>184</v>
      </c>
      <c r="B17" s="133"/>
      <c r="C17" s="133"/>
      <c r="D17" s="133"/>
      <c r="E17" s="133"/>
      <c r="F17" s="133"/>
      <c r="G17" s="133"/>
      <c r="H17" s="133">
        <v>0</v>
      </c>
      <c r="I17" s="133">
        <v>0</v>
      </c>
    </row>
    <row r="18" spans="1:9" x14ac:dyDescent="0.2">
      <c r="A18" s="133" t="s">
        <v>197</v>
      </c>
      <c r="B18" s="133"/>
      <c r="C18" s="133"/>
      <c r="D18" s="133"/>
      <c r="E18" s="133"/>
      <c r="F18" s="133"/>
      <c r="G18" s="133"/>
      <c r="H18" s="133">
        <v>16109.188774237748</v>
      </c>
      <c r="I18" s="133">
        <v>16115.498742061853</v>
      </c>
    </row>
    <row r="19" spans="1:9" x14ac:dyDescent="0.2">
      <c r="A19" s="133" t="s">
        <v>198</v>
      </c>
      <c r="B19" s="133"/>
      <c r="C19" s="133"/>
      <c r="D19" s="133"/>
      <c r="E19" s="133"/>
      <c r="F19" s="133"/>
      <c r="G19" s="133"/>
      <c r="H19" s="133">
        <v>-1.1108603549646963E+110</v>
      </c>
      <c r="I19" s="133">
        <v>-1.1108603549646963E+110</v>
      </c>
    </row>
    <row r="20" spans="1:9" x14ac:dyDescent="0.2">
      <c r="A20" s="133" t="s">
        <v>199</v>
      </c>
      <c r="B20" s="133"/>
      <c r="C20" s="133"/>
      <c r="D20" s="133"/>
      <c r="E20" s="133"/>
      <c r="F20" s="133"/>
      <c r="G20" s="133"/>
      <c r="H20" s="133">
        <v>1.946501407461198E-216</v>
      </c>
      <c r="I20" s="133">
        <v>-1.946501407461198E-216</v>
      </c>
    </row>
    <row r="21" spans="1:9" x14ac:dyDescent="0.2">
      <c r="A21" s="133" t="s">
        <v>200</v>
      </c>
      <c r="B21" s="133"/>
      <c r="C21" s="133"/>
      <c r="D21" s="133"/>
      <c r="E21" s="133"/>
      <c r="F21" s="133"/>
      <c r="G21" s="133"/>
      <c r="H21" s="133">
        <v>2.9476075650653949E+67</v>
      </c>
      <c r="I21" s="133">
        <v>-2.9476075650653949E+67</v>
      </c>
    </row>
    <row r="22" spans="1:9" x14ac:dyDescent="0.2">
      <c r="A22" s="133" t="s">
        <v>201</v>
      </c>
      <c r="B22" s="133">
        <v>1.1363393810032107</v>
      </c>
      <c r="C22" s="133">
        <v>0.28070874056972706</v>
      </c>
      <c r="D22" s="133">
        <v>4.0481082943726436</v>
      </c>
      <c r="E22" s="133">
        <v>1.5499892949923363E-2</v>
      </c>
      <c r="F22" s="133">
        <v>0.35696697230538132</v>
      </c>
      <c r="G22" s="133">
        <v>1.9157117897010401</v>
      </c>
      <c r="H22" s="133">
        <v>0.35696697230538132</v>
      </c>
      <c r="I22" s="133">
        <v>1.9157117897010401</v>
      </c>
    </row>
    <row r="23" spans="1:9" ht="13.5" thickBot="1" x14ac:dyDescent="0.25">
      <c r="A23" s="134" t="s">
        <v>202</v>
      </c>
      <c r="B23" s="134">
        <v>109.2582710779082</v>
      </c>
      <c r="C23" s="134">
        <v>0.49933210438135017</v>
      </c>
      <c r="D23" s="134">
        <v>218.80882506698472</v>
      </c>
      <c r="E23" s="134">
        <v>2.6171670447117593E-9</v>
      </c>
      <c r="F23" s="134">
        <v>107.87190290090739</v>
      </c>
      <c r="G23" s="134">
        <v>110.64463925490902</v>
      </c>
      <c r="H23" s="134">
        <v>107.87190290090739</v>
      </c>
      <c r="I23" s="134">
        <v>110.64463925490902</v>
      </c>
    </row>
  </sheetData>
  <phoneticPr fontId="13" type="noConversion"/>
  <pageMargins left="0.75" right="0.75" top="1" bottom="1" header="0.5" footer="0.5"/>
  <pageSetup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I23"/>
  <sheetViews>
    <sheetView workbookViewId="0">
      <selection activeCell="P24" sqref="P24"/>
    </sheetView>
  </sheetViews>
  <sheetFormatPr defaultRowHeight="12.75" x14ac:dyDescent="0.2"/>
  <sheetData>
    <row r="1" spans="1:9" x14ac:dyDescent="0.2">
      <c r="A1" t="s">
        <v>174</v>
      </c>
    </row>
    <row r="2" spans="1:9" ht="13.5" thickBot="1" x14ac:dyDescent="0.25"/>
    <row r="3" spans="1:9" x14ac:dyDescent="0.2">
      <c r="A3" s="136" t="s">
        <v>175</v>
      </c>
      <c r="B3" s="136"/>
    </row>
    <row r="4" spans="1:9" x14ac:dyDescent="0.2">
      <c r="A4" s="133" t="s">
        <v>176</v>
      </c>
      <c r="B4" s="133">
        <v>0.99940629451212304</v>
      </c>
    </row>
    <row r="5" spans="1:9" x14ac:dyDescent="0.2">
      <c r="A5" s="133" t="s">
        <v>177</v>
      </c>
      <c r="B5" s="133">
        <v>0.99881294151045241</v>
      </c>
    </row>
    <row r="6" spans="1:9" x14ac:dyDescent="0.2">
      <c r="A6" s="133" t="s">
        <v>178</v>
      </c>
      <c r="B6" s="133">
        <v>-1.5</v>
      </c>
    </row>
    <row r="7" spans="1:9" x14ac:dyDescent="0.2">
      <c r="A7" s="133" t="s">
        <v>179</v>
      </c>
      <c r="B7" s="133">
        <v>0.92494483379873504</v>
      </c>
    </row>
    <row r="8" spans="1:9" ht="13.5" thickBot="1" x14ac:dyDescent="0.25">
      <c r="A8" s="134" t="s">
        <v>180</v>
      </c>
      <c r="B8" s="134">
        <v>1</v>
      </c>
    </row>
    <row r="10" spans="1:9" ht="13.5" thickBot="1" x14ac:dyDescent="0.25">
      <c r="A10" t="s">
        <v>181</v>
      </c>
    </row>
    <row r="11" spans="1:9" x14ac:dyDescent="0.2">
      <c r="A11" s="135"/>
      <c r="B11" s="135" t="s">
        <v>185</v>
      </c>
      <c r="C11" s="135" t="s">
        <v>186</v>
      </c>
      <c r="D11" s="135" t="s">
        <v>187</v>
      </c>
      <c r="E11" s="135" t="s">
        <v>188</v>
      </c>
      <c r="F11" s="135" t="s">
        <v>189</v>
      </c>
    </row>
    <row r="12" spans="1:9" x14ac:dyDescent="0.2">
      <c r="A12" s="133" t="s">
        <v>182</v>
      </c>
      <c r="B12" s="133">
        <v>6</v>
      </c>
      <c r="C12" s="133">
        <v>2879.411241551049</v>
      </c>
      <c r="D12" s="133">
        <v>479.90187359184148</v>
      </c>
      <c r="E12" s="133">
        <v>3365.6738915744118</v>
      </c>
      <c r="F12" s="133" t="e">
        <v>#NUM!</v>
      </c>
    </row>
    <row r="13" spans="1:9" x14ac:dyDescent="0.2">
      <c r="A13" s="133" t="s">
        <v>183</v>
      </c>
      <c r="B13" s="133">
        <v>4</v>
      </c>
      <c r="C13" s="133">
        <v>3.4220917822838786</v>
      </c>
      <c r="D13" s="133">
        <v>0.85552294557096964</v>
      </c>
      <c r="E13" s="133"/>
      <c r="F13" s="133"/>
    </row>
    <row r="14" spans="1:9" ht="13.5" thickBot="1" x14ac:dyDescent="0.25">
      <c r="A14" s="134" t="s">
        <v>7</v>
      </c>
      <c r="B14" s="134">
        <v>10</v>
      </c>
      <c r="C14" s="134">
        <v>2882.833333333333</v>
      </c>
      <c r="D14" s="134"/>
      <c r="E14" s="134"/>
      <c r="F14" s="134"/>
    </row>
    <row r="15" spans="1:9" ht="13.5" thickBot="1" x14ac:dyDescent="0.25"/>
    <row r="16" spans="1:9" x14ac:dyDescent="0.2">
      <c r="A16" s="135"/>
      <c r="B16" s="135" t="s">
        <v>190</v>
      </c>
      <c r="C16" s="135" t="s">
        <v>179</v>
      </c>
      <c r="D16" s="135" t="s">
        <v>191</v>
      </c>
      <c r="E16" s="135" t="s">
        <v>192</v>
      </c>
      <c r="F16" s="135" t="s">
        <v>193</v>
      </c>
      <c r="G16" s="135" t="s">
        <v>194</v>
      </c>
      <c r="H16" s="135" t="s">
        <v>195</v>
      </c>
      <c r="I16" s="135" t="s">
        <v>196</v>
      </c>
    </row>
    <row r="17" spans="1:9" x14ac:dyDescent="0.2">
      <c r="A17" s="133" t="s">
        <v>184</v>
      </c>
      <c r="B17" s="133"/>
      <c r="C17" s="133"/>
      <c r="D17" s="133"/>
      <c r="E17" s="133"/>
      <c r="F17" s="133"/>
      <c r="G17" s="133"/>
      <c r="H17" s="133">
        <v>0</v>
      </c>
      <c r="I17" s="133">
        <v>0</v>
      </c>
    </row>
    <row r="18" spans="1:9" x14ac:dyDescent="0.2">
      <c r="A18" s="133" t="s">
        <v>197</v>
      </c>
      <c r="B18" s="133"/>
      <c r="C18" s="133"/>
      <c r="D18" s="133"/>
      <c r="E18" s="133"/>
      <c r="F18" s="133"/>
      <c r="G18" s="133"/>
      <c r="H18" s="133">
        <v>-1.209575215590299</v>
      </c>
      <c r="I18" s="133">
        <v>2.5713681718218107</v>
      </c>
    </row>
    <row r="19" spans="1:9" x14ac:dyDescent="0.2">
      <c r="A19" s="133" t="s">
        <v>198</v>
      </c>
      <c r="B19" s="133"/>
      <c r="C19" s="133"/>
      <c r="D19" s="133"/>
      <c r="E19" s="133"/>
      <c r="F19" s="133"/>
      <c r="G19" s="133"/>
      <c r="H19" s="133">
        <v>-1.3306893356057827E-274</v>
      </c>
      <c r="I19" s="133">
        <v>2.828775899719175E-274</v>
      </c>
    </row>
    <row r="20" spans="1:9" x14ac:dyDescent="0.2">
      <c r="A20" s="133" t="s">
        <v>199</v>
      </c>
      <c r="B20" s="133"/>
      <c r="C20" s="133"/>
      <c r="D20" s="133"/>
      <c r="E20" s="133"/>
      <c r="F20" s="133"/>
      <c r="G20" s="133"/>
      <c r="H20" s="133">
        <v>3.7929357604149559E+201</v>
      </c>
      <c r="I20" s="133">
        <v>3.7929257760487875E+201</v>
      </c>
    </row>
    <row r="21" spans="1:9" x14ac:dyDescent="0.2">
      <c r="A21" s="133" t="s">
        <v>200</v>
      </c>
      <c r="B21" s="133"/>
      <c r="C21" s="133"/>
      <c r="D21" s="133"/>
      <c r="E21" s="133"/>
      <c r="F21" s="133"/>
      <c r="G21" s="133"/>
      <c r="H21" s="133">
        <v>8.8718968774595929E-34</v>
      </c>
      <c r="I21" s="133">
        <v>8.8718968774595929E-34</v>
      </c>
    </row>
    <row r="22" spans="1:9" x14ac:dyDescent="0.2">
      <c r="A22" s="133" t="s">
        <v>201</v>
      </c>
      <c r="B22" s="133">
        <v>0.68089647812166731</v>
      </c>
      <c r="C22" s="133">
        <v>1.471103108615728</v>
      </c>
      <c r="D22" s="133">
        <v>0.46284755577899239</v>
      </c>
      <c r="E22" s="133">
        <v>0.66753331930073079</v>
      </c>
      <c r="F22" s="133">
        <v>-3.4035405468091922</v>
      </c>
      <c r="G22" s="133">
        <v>4.7653335030525268</v>
      </c>
      <c r="H22" s="133">
        <v>-3.4035405468091922</v>
      </c>
      <c r="I22" s="133">
        <v>4.7653335030525268</v>
      </c>
    </row>
    <row r="23" spans="1:9" ht="13.5" thickBot="1" x14ac:dyDescent="0.25">
      <c r="A23" s="134" t="s">
        <v>202</v>
      </c>
      <c r="B23" s="134">
        <v>151.81430096051227</v>
      </c>
      <c r="C23" s="134">
        <v>2.6168369730709298</v>
      </c>
      <c r="D23" s="134">
        <v>58.014428305158816</v>
      </c>
      <c r="E23" s="134">
        <v>5.2862467296120837E-7</v>
      </c>
      <c r="F23" s="134">
        <v>144.54879675593185</v>
      </c>
      <c r="G23" s="134">
        <v>159.07980516509269</v>
      </c>
      <c r="H23" s="134">
        <v>144.54879675593185</v>
      </c>
      <c r="I23" s="134">
        <v>159.07980516509269</v>
      </c>
    </row>
  </sheetData>
  <phoneticPr fontId="13"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I23"/>
  <sheetViews>
    <sheetView workbookViewId="0">
      <selection activeCell="P24" sqref="P24"/>
    </sheetView>
  </sheetViews>
  <sheetFormatPr defaultRowHeight="12.75" x14ac:dyDescent="0.2"/>
  <sheetData>
    <row r="1" spans="1:9" x14ac:dyDescent="0.2">
      <c r="A1" t="s">
        <v>174</v>
      </c>
    </row>
    <row r="2" spans="1:9" ht="13.5" thickBot="1" x14ac:dyDescent="0.25"/>
    <row r="3" spans="1:9" x14ac:dyDescent="0.2">
      <c r="A3" s="136" t="s">
        <v>175</v>
      </c>
      <c r="B3" s="136"/>
    </row>
    <row r="4" spans="1:9" x14ac:dyDescent="0.2">
      <c r="A4" s="133" t="s">
        <v>176</v>
      </c>
      <c r="B4" s="133">
        <v>0.99966835674789412</v>
      </c>
    </row>
    <row r="5" spans="1:9" x14ac:dyDescent="0.2">
      <c r="A5" s="133" t="s">
        <v>177</v>
      </c>
      <c r="B5" s="133">
        <v>0.99933682348303488</v>
      </c>
    </row>
    <row r="6" spans="1:9" x14ac:dyDescent="0.2">
      <c r="A6" s="133" t="s">
        <v>178</v>
      </c>
      <c r="B6" s="133">
        <v>-1.5</v>
      </c>
    </row>
    <row r="7" spans="1:9" x14ac:dyDescent="0.2">
      <c r="A7" s="133" t="s">
        <v>179</v>
      </c>
      <c r="B7" s="133">
        <v>0.74303058508619524</v>
      </c>
    </row>
    <row r="8" spans="1:9" ht="13.5" thickBot="1" x14ac:dyDescent="0.25">
      <c r="A8" s="134" t="s">
        <v>180</v>
      </c>
      <c r="B8" s="134">
        <v>1</v>
      </c>
    </row>
    <row r="10" spans="1:9" ht="13.5" thickBot="1" x14ac:dyDescent="0.25">
      <c r="A10" t="s">
        <v>181</v>
      </c>
    </row>
    <row r="11" spans="1:9" x14ac:dyDescent="0.2">
      <c r="A11" s="135"/>
      <c r="B11" s="135" t="s">
        <v>185</v>
      </c>
      <c r="C11" s="135" t="s">
        <v>186</v>
      </c>
      <c r="D11" s="135" t="s">
        <v>187</v>
      </c>
      <c r="E11" s="135" t="s">
        <v>188</v>
      </c>
      <c r="F11" s="135" t="s">
        <v>189</v>
      </c>
    </row>
    <row r="12" spans="1:9" x14ac:dyDescent="0.2">
      <c r="A12" s="133" t="s">
        <v>182</v>
      </c>
      <c r="B12" s="133">
        <v>6</v>
      </c>
      <c r="C12" s="133">
        <v>3327.791622198506</v>
      </c>
      <c r="D12" s="133">
        <v>554.63193703308434</v>
      </c>
      <c r="E12" s="133">
        <v>6027.5766582094848</v>
      </c>
      <c r="F12" s="133" t="e">
        <v>#NUM!</v>
      </c>
    </row>
    <row r="13" spans="1:9" x14ac:dyDescent="0.2">
      <c r="A13" s="133" t="s">
        <v>183</v>
      </c>
      <c r="B13" s="133">
        <v>4</v>
      </c>
      <c r="C13" s="133">
        <v>2.2083778014941347</v>
      </c>
      <c r="D13" s="133">
        <v>0.55209445037353366</v>
      </c>
      <c r="E13" s="133"/>
      <c r="F13" s="133"/>
    </row>
    <row r="14" spans="1:9" ht="13.5" thickBot="1" x14ac:dyDescent="0.25">
      <c r="A14" s="134" t="s">
        <v>7</v>
      </c>
      <c r="B14" s="134">
        <v>10</v>
      </c>
      <c r="C14" s="134">
        <v>3330</v>
      </c>
      <c r="D14" s="134"/>
      <c r="E14" s="134"/>
      <c r="F14" s="134"/>
    </row>
    <row r="15" spans="1:9" ht="13.5" thickBot="1" x14ac:dyDescent="0.25"/>
    <row r="16" spans="1:9" x14ac:dyDescent="0.2">
      <c r="A16" s="135"/>
      <c r="B16" s="135" t="s">
        <v>190</v>
      </c>
      <c r="C16" s="135" t="s">
        <v>179</v>
      </c>
      <c r="D16" s="135" t="s">
        <v>191</v>
      </c>
      <c r="E16" s="135" t="s">
        <v>192</v>
      </c>
      <c r="F16" s="135" t="s">
        <v>193</v>
      </c>
      <c r="G16" s="135" t="s">
        <v>194</v>
      </c>
      <c r="H16" s="135" t="s">
        <v>195</v>
      </c>
      <c r="I16" s="135" t="s">
        <v>196</v>
      </c>
    </row>
    <row r="17" spans="1:9" x14ac:dyDescent="0.2">
      <c r="A17" s="133" t="s">
        <v>184</v>
      </c>
      <c r="B17" s="133"/>
      <c r="C17" s="133"/>
      <c r="D17" s="133"/>
      <c r="E17" s="133"/>
      <c r="F17" s="133"/>
      <c r="G17" s="133"/>
      <c r="H17" s="133">
        <v>0</v>
      </c>
      <c r="I17" s="133">
        <v>0</v>
      </c>
    </row>
    <row r="18" spans="1:9" x14ac:dyDescent="0.2">
      <c r="A18" s="133" t="s">
        <v>197</v>
      </c>
      <c r="B18" s="133"/>
      <c r="C18" s="133"/>
      <c r="D18" s="133"/>
      <c r="E18" s="133"/>
      <c r="F18" s="133"/>
      <c r="G18" s="133"/>
      <c r="H18" s="133">
        <v>-0.57587534755003156</v>
      </c>
      <c r="I18" s="133">
        <v>1.2242211319651735</v>
      </c>
    </row>
    <row r="19" spans="1:9" x14ac:dyDescent="0.2">
      <c r="A19" s="133" t="s">
        <v>198</v>
      </c>
      <c r="B19" s="133"/>
      <c r="C19" s="133"/>
      <c r="D19" s="133"/>
      <c r="E19" s="133"/>
      <c r="F19" s="133"/>
      <c r="G19" s="133"/>
      <c r="H19" s="133">
        <v>-1.3284306195813647E-274</v>
      </c>
      <c r="I19" s="133">
        <v>2.8239742218908648E-274</v>
      </c>
    </row>
    <row r="20" spans="1:9" x14ac:dyDescent="0.2">
      <c r="A20" s="133" t="s">
        <v>199</v>
      </c>
      <c r="B20" s="133"/>
      <c r="C20" s="133"/>
      <c r="D20" s="133"/>
      <c r="E20" s="133"/>
      <c r="F20" s="133"/>
      <c r="G20" s="133"/>
      <c r="H20" s="133">
        <v>-1.4399039154818868E-212</v>
      </c>
      <c r="I20" s="133">
        <v>1.4399039154818868E-212</v>
      </c>
    </row>
    <row r="21" spans="1:9" x14ac:dyDescent="0.2">
      <c r="A21" s="133" t="s">
        <v>200</v>
      </c>
      <c r="B21" s="133"/>
      <c r="C21" s="133"/>
      <c r="D21" s="133"/>
      <c r="E21" s="133"/>
      <c r="F21" s="133"/>
      <c r="G21" s="133"/>
      <c r="H21" s="133">
        <v>-6.5110998637874404E-30</v>
      </c>
      <c r="I21" s="133">
        <v>-6.5110998593148741E-30</v>
      </c>
    </row>
    <row r="22" spans="1:9" x14ac:dyDescent="0.2">
      <c r="A22" s="133" t="s">
        <v>201</v>
      </c>
      <c r="B22" s="133">
        <v>0.32417289220917667</v>
      </c>
      <c r="C22" s="133">
        <v>1.1817727539788763</v>
      </c>
      <c r="D22" s="133">
        <v>0.27431068377378681</v>
      </c>
      <c r="E22" s="133">
        <v>0.79742967957043986</v>
      </c>
      <c r="F22" s="133">
        <v>-2.9569542858496085</v>
      </c>
      <c r="G22" s="133">
        <v>3.6053000702679618</v>
      </c>
      <c r="H22" s="133">
        <v>-2.9569542858496085</v>
      </c>
      <c r="I22" s="133">
        <v>3.6053000702679618</v>
      </c>
    </row>
    <row r="23" spans="1:9" ht="13.5" thickBot="1" x14ac:dyDescent="0.25">
      <c r="A23" s="134" t="s">
        <v>202</v>
      </c>
      <c r="B23" s="134">
        <v>163.20704375667023</v>
      </c>
      <c r="C23" s="134">
        <v>2.1021685144080431</v>
      </c>
      <c r="D23" s="134">
        <v>77.637469421726294</v>
      </c>
      <c r="E23" s="134">
        <v>1.6496263172328361E-7</v>
      </c>
      <c r="F23" s="134">
        <v>157.37048827486481</v>
      </c>
      <c r="G23" s="134">
        <v>169.04359923847565</v>
      </c>
      <c r="H23" s="134">
        <v>157.37048827486481</v>
      </c>
      <c r="I23" s="134">
        <v>169.04359923847565</v>
      </c>
    </row>
  </sheetData>
  <phoneticPr fontId="13"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I23"/>
  <sheetViews>
    <sheetView workbookViewId="0">
      <selection activeCell="P24" sqref="P24"/>
    </sheetView>
  </sheetViews>
  <sheetFormatPr defaultRowHeight="12.75" x14ac:dyDescent="0.2"/>
  <sheetData>
    <row r="1" spans="1:9" x14ac:dyDescent="0.2">
      <c r="A1" t="s">
        <v>174</v>
      </c>
    </row>
    <row r="2" spans="1:9" ht="13.5" thickBot="1" x14ac:dyDescent="0.25"/>
    <row r="3" spans="1:9" x14ac:dyDescent="0.2">
      <c r="A3" s="136" t="s">
        <v>175</v>
      </c>
      <c r="B3" s="136"/>
    </row>
    <row r="4" spans="1:9" x14ac:dyDescent="0.2">
      <c r="A4" s="133" t="s">
        <v>176</v>
      </c>
      <c r="B4" s="133">
        <v>0.99272688646174567</v>
      </c>
    </row>
    <row r="5" spans="1:9" x14ac:dyDescent="0.2">
      <c r="A5" s="133" t="s">
        <v>177</v>
      </c>
      <c r="B5" s="133">
        <v>0.98550667110403178</v>
      </c>
    </row>
    <row r="6" spans="1:9" x14ac:dyDescent="0.2">
      <c r="A6" s="133" t="s">
        <v>178</v>
      </c>
      <c r="B6" s="133">
        <v>-1.5</v>
      </c>
    </row>
    <row r="7" spans="1:9" x14ac:dyDescent="0.2">
      <c r="A7" s="133" t="s">
        <v>179</v>
      </c>
      <c r="B7" s="133">
        <v>2.5674986062020646</v>
      </c>
    </row>
    <row r="8" spans="1:9" ht="13.5" thickBot="1" x14ac:dyDescent="0.25">
      <c r="A8" s="134" t="s">
        <v>180</v>
      </c>
      <c r="B8" s="134">
        <v>1</v>
      </c>
    </row>
    <row r="10" spans="1:9" ht="13.5" thickBot="1" x14ac:dyDescent="0.25">
      <c r="A10" t="s">
        <v>181</v>
      </c>
    </row>
    <row r="11" spans="1:9" x14ac:dyDescent="0.2">
      <c r="A11" s="135"/>
      <c r="B11" s="135" t="s">
        <v>185</v>
      </c>
      <c r="C11" s="135" t="s">
        <v>186</v>
      </c>
      <c r="D11" s="135" t="s">
        <v>187</v>
      </c>
      <c r="E11" s="135" t="s">
        <v>188</v>
      </c>
      <c r="F11" s="135" t="s">
        <v>189</v>
      </c>
    </row>
    <row r="12" spans="1:9" x14ac:dyDescent="0.2">
      <c r="A12" s="133" t="s">
        <v>182</v>
      </c>
      <c r="B12" s="133">
        <v>6</v>
      </c>
      <c r="C12" s="133">
        <v>1792.9651369619348</v>
      </c>
      <c r="D12" s="133">
        <v>298.82752282698914</v>
      </c>
      <c r="E12" s="133">
        <v>271.98904494002943</v>
      </c>
      <c r="F12" s="133" t="e">
        <v>#NUM!</v>
      </c>
    </row>
    <row r="13" spans="1:9" x14ac:dyDescent="0.2">
      <c r="A13" s="133" t="s">
        <v>183</v>
      </c>
      <c r="B13" s="133">
        <v>4</v>
      </c>
      <c r="C13" s="133">
        <v>26.368196371398177</v>
      </c>
      <c r="D13" s="133">
        <v>6.5920490928495443</v>
      </c>
      <c r="E13" s="133"/>
      <c r="F13" s="133"/>
    </row>
    <row r="14" spans="1:9" ht="13.5" thickBot="1" x14ac:dyDescent="0.25">
      <c r="A14" s="134" t="s">
        <v>7</v>
      </c>
      <c r="B14" s="134">
        <v>10</v>
      </c>
      <c r="C14" s="134">
        <v>1819.333333333333</v>
      </c>
      <c r="D14" s="134"/>
      <c r="E14" s="134"/>
      <c r="F14" s="134"/>
    </row>
    <row r="15" spans="1:9" ht="13.5" thickBot="1" x14ac:dyDescent="0.25"/>
    <row r="16" spans="1:9" x14ac:dyDescent="0.2">
      <c r="A16" s="135"/>
      <c r="B16" s="135" t="s">
        <v>190</v>
      </c>
      <c r="C16" s="135" t="s">
        <v>179</v>
      </c>
      <c r="D16" s="135" t="s">
        <v>191</v>
      </c>
      <c r="E16" s="135" t="s">
        <v>192</v>
      </c>
      <c r="F16" s="135" t="s">
        <v>193</v>
      </c>
      <c r="G16" s="135" t="s">
        <v>194</v>
      </c>
      <c r="H16" s="135" t="s">
        <v>195</v>
      </c>
      <c r="I16" s="135" t="s">
        <v>196</v>
      </c>
    </row>
    <row r="17" spans="1:9" x14ac:dyDescent="0.2">
      <c r="A17" s="133" t="s">
        <v>184</v>
      </c>
      <c r="B17" s="133"/>
      <c r="C17" s="133"/>
      <c r="D17" s="133"/>
      <c r="E17" s="133"/>
      <c r="F17" s="133"/>
      <c r="G17" s="133"/>
      <c r="H17" s="133">
        <v>0</v>
      </c>
      <c r="I17" s="133">
        <v>0</v>
      </c>
    </row>
    <row r="18" spans="1:9" x14ac:dyDescent="0.2">
      <c r="A18" s="133" t="s">
        <v>197</v>
      </c>
      <c r="B18" s="133"/>
      <c r="C18" s="133"/>
      <c r="D18" s="133"/>
      <c r="E18" s="133"/>
      <c r="F18" s="133"/>
      <c r="G18" s="133"/>
      <c r="H18" s="133">
        <v>14.963279606607161</v>
      </c>
      <c r="I18" s="133">
        <v>-31.809597642692161</v>
      </c>
    </row>
    <row r="19" spans="1:9" x14ac:dyDescent="0.2">
      <c r="A19" s="133" t="s">
        <v>198</v>
      </c>
      <c r="B19" s="133"/>
      <c r="C19" s="133"/>
      <c r="D19" s="133"/>
      <c r="E19" s="133"/>
      <c r="F19" s="133"/>
      <c r="G19" s="133"/>
      <c r="H19" s="133">
        <v>-1.3395793600277135E-274</v>
      </c>
      <c r="I19" s="133">
        <v>2.8476747044818988E-274</v>
      </c>
    </row>
    <row r="20" spans="1:9" x14ac:dyDescent="0.2">
      <c r="A20" s="133" t="s">
        <v>199</v>
      </c>
      <c r="B20" s="133"/>
      <c r="C20" s="133"/>
      <c r="D20" s="133"/>
      <c r="E20" s="133"/>
      <c r="F20" s="133"/>
      <c r="G20" s="133"/>
      <c r="H20" s="133">
        <v>3.2109017260267287E-50</v>
      </c>
      <c r="I20" s="133">
        <v>-3.2109017260267239E-50</v>
      </c>
    </row>
    <row r="21" spans="1:9" x14ac:dyDescent="0.2">
      <c r="A21" s="133" t="s">
        <v>200</v>
      </c>
      <c r="B21" s="133"/>
      <c r="C21" s="133"/>
      <c r="D21" s="133"/>
      <c r="E21" s="133"/>
      <c r="F21" s="133"/>
      <c r="G21" s="133"/>
      <c r="H21" s="133">
        <v>-3.4936714510890819E+45</v>
      </c>
      <c r="I21" s="133">
        <v>3.4936714510890819E+45</v>
      </c>
    </row>
    <row r="22" spans="1:9" x14ac:dyDescent="0.2">
      <c r="A22" s="133" t="s">
        <v>201</v>
      </c>
      <c r="B22" s="133" t="s">
        <v>209</v>
      </c>
      <c r="C22" s="133">
        <v>4.0835464375081649</v>
      </c>
      <c r="D22" s="133">
        <v>-2.0627068032763525</v>
      </c>
      <c r="E22" s="133">
        <v>0.10812015627800858</v>
      </c>
      <c r="F22" s="133">
        <v>-19.760901535781606</v>
      </c>
      <c r="G22" s="133">
        <v>2.9145834994956008</v>
      </c>
      <c r="H22" s="133">
        <v>-19.760901535781606</v>
      </c>
      <c r="I22" s="133">
        <v>2.9145834994956008</v>
      </c>
    </row>
    <row r="23" spans="1:9" ht="13.5" thickBot="1" x14ac:dyDescent="0.25">
      <c r="A23" s="134" t="s">
        <v>202</v>
      </c>
      <c r="B23" s="134">
        <v>119.79722518676627</v>
      </c>
      <c r="C23" s="134">
        <v>7.2639200042060175</v>
      </c>
      <c r="D23" s="134">
        <v>16.492090375086764</v>
      </c>
      <c r="E23" s="134">
        <v>7.9154903567399201E-5</v>
      </c>
      <c r="F23" s="134">
        <v>99.629350047658704</v>
      </c>
      <c r="G23" s="134">
        <v>139.96510032587383</v>
      </c>
      <c r="H23" s="134">
        <v>99.629350047658704</v>
      </c>
      <c r="I23" s="134">
        <v>139.96510032587383</v>
      </c>
    </row>
  </sheetData>
  <phoneticPr fontId="13"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V36"/>
  <sheetViews>
    <sheetView tabSelected="1" zoomScale="90" zoomScaleNormal="90" workbookViewId="0">
      <selection activeCell="C28" sqref="C28"/>
    </sheetView>
  </sheetViews>
  <sheetFormatPr defaultRowHeight="12.75" x14ac:dyDescent="0.2"/>
  <cols>
    <col min="1" max="1" width="42.42578125" customWidth="1"/>
    <col min="2" max="2" width="69.85546875" customWidth="1"/>
    <col min="3" max="3" width="41.28515625" customWidth="1"/>
    <col min="4" max="4" width="15.5703125" customWidth="1"/>
    <col min="5" max="5" width="18.28515625" customWidth="1"/>
  </cols>
  <sheetData>
    <row r="1" spans="1:22" ht="18.600000000000001" customHeight="1" thickBot="1" x14ac:dyDescent="0.3">
      <c r="A1" s="185" t="s">
        <v>281</v>
      </c>
      <c r="B1" s="186"/>
      <c r="C1" s="187"/>
      <c r="V1">
        <f>'HP Sizing Worksheet'!B43</f>
        <v>6</v>
      </c>
    </row>
    <row r="2" spans="1:22" ht="18.600000000000001" customHeight="1" thickBot="1" x14ac:dyDescent="0.3">
      <c r="A2" s="178" t="s">
        <v>295</v>
      </c>
      <c r="B2" s="193"/>
      <c r="C2" s="194"/>
    </row>
    <row r="3" spans="1:22" ht="18.600000000000001" customHeight="1" thickBot="1" x14ac:dyDescent="0.3">
      <c r="A3" s="178" t="s">
        <v>296</v>
      </c>
      <c r="B3" s="193"/>
      <c r="C3" s="194"/>
    </row>
    <row r="4" spans="1:22" ht="18.600000000000001" customHeight="1" thickBot="1" x14ac:dyDescent="0.3">
      <c r="A4" s="178" t="s">
        <v>297</v>
      </c>
      <c r="B4" s="193"/>
      <c r="C4" s="194"/>
    </row>
    <row r="5" spans="1:22" ht="18.600000000000001" customHeight="1" thickBot="1" x14ac:dyDescent="0.3">
      <c r="A5" s="178" t="s">
        <v>298</v>
      </c>
      <c r="B5" s="193"/>
      <c r="C5" s="194"/>
    </row>
    <row r="6" spans="1:22" ht="18.600000000000001" customHeight="1" thickBot="1" x14ac:dyDescent="0.3">
      <c r="A6" s="184" t="s">
        <v>346</v>
      </c>
      <c r="B6" s="178" t="s">
        <v>299</v>
      </c>
      <c r="C6" s="179">
        <f ca="1">NOW()</f>
        <v>43613.518869560183</v>
      </c>
    </row>
    <row r="7" spans="1:22" ht="24" customHeight="1" thickBot="1" x14ac:dyDescent="0.3">
      <c r="A7" s="191" t="s">
        <v>291</v>
      </c>
      <c r="B7" s="192"/>
      <c r="C7" s="167"/>
    </row>
    <row r="8" spans="1:22" ht="20.45" customHeight="1" thickBot="1" x14ac:dyDescent="0.3">
      <c r="A8" s="204" t="s">
        <v>279</v>
      </c>
      <c r="B8" s="205"/>
      <c r="C8" s="170">
        <f>INDEX('CAC Sizing Worksheet'!L$37:M$87,'CAC Sizing Worksheet'!L$35,1)</f>
        <v>85</v>
      </c>
    </row>
    <row r="9" spans="1:22" ht="20.45" customHeight="1" thickBot="1" x14ac:dyDescent="0.3">
      <c r="A9" s="204" t="s">
        <v>280</v>
      </c>
      <c r="B9" s="205"/>
      <c r="C9" s="171">
        <f>INDEX('CAC Sizing Worksheet'!L$37:M$87,'CAC Sizing Worksheet'!L$35,2)</f>
        <v>7</v>
      </c>
    </row>
    <row r="10" spans="1:22" ht="18.600000000000001" customHeight="1" thickBot="1" x14ac:dyDescent="0.3">
      <c r="A10" s="191" t="s">
        <v>56</v>
      </c>
      <c r="B10" s="192"/>
      <c r="C10" s="183">
        <v>1200</v>
      </c>
    </row>
    <row r="11" spans="1:22" ht="19.5" customHeight="1" thickBot="1" x14ac:dyDescent="0.3">
      <c r="A11" s="195" t="s">
        <v>214</v>
      </c>
      <c r="B11" s="197"/>
      <c r="C11" s="168"/>
    </row>
    <row r="12" spans="1:22" ht="20.45" customHeight="1" thickBot="1" x14ac:dyDescent="0.3">
      <c r="A12" s="206" t="s">
        <v>66</v>
      </c>
      <c r="B12" s="206"/>
      <c r="C12" s="172" t="str">
        <f>INDEX(ShellType,'HP Sizing Worksheet'!D$45,1)</f>
        <v>R38</v>
      </c>
    </row>
    <row r="13" spans="1:22" ht="20.45" customHeight="1" thickBot="1" x14ac:dyDescent="0.3">
      <c r="A13" s="206" t="s">
        <v>69</v>
      </c>
      <c r="B13" s="206"/>
      <c r="C13" s="172" t="str">
        <f>INDEX(ShellType,'HP Sizing Worksheet'!D$45,2)</f>
        <v>R21</v>
      </c>
    </row>
    <row r="14" spans="1:22" ht="18.600000000000001" customHeight="1" thickBot="1" x14ac:dyDescent="0.3">
      <c r="A14" s="206" t="s">
        <v>68</v>
      </c>
      <c r="B14" s="206"/>
      <c r="C14" s="172" t="str">
        <f>INDEX(ShellType,'HP Sizing Worksheet'!D$45,3)</f>
        <v>R19</v>
      </c>
    </row>
    <row r="15" spans="1:22" ht="18.600000000000001" customHeight="1" thickBot="1" x14ac:dyDescent="0.3">
      <c r="A15" s="206" t="s">
        <v>67</v>
      </c>
      <c r="B15" s="206"/>
      <c r="C15" s="172" t="str">
        <f>INDEX(ShellType,'HP Sizing Worksheet'!D$45,4)</f>
        <v>R30</v>
      </c>
    </row>
    <row r="16" spans="1:22" ht="21" customHeight="1" thickBot="1" x14ac:dyDescent="0.3">
      <c r="A16" s="206" t="s">
        <v>154</v>
      </c>
      <c r="B16" s="206"/>
      <c r="C16" s="173" t="str">
        <f>INDEX(ShellType,'HP Sizing Worksheet'!D$45,5)</f>
        <v>Insulated Metal or Fiberglass</v>
      </c>
    </row>
    <row r="17" spans="1:3" ht="20.25" customHeight="1" thickBot="1" x14ac:dyDescent="0.3">
      <c r="A17" s="188" t="s">
        <v>347</v>
      </c>
      <c r="B17" s="189"/>
      <c r="C17" s="190"/>
    </row>
    <row r="18" spans="1:3" ht="19.899999999999999" customHeight="1" thickBot="1" x14ac:dyDescent="0.3">
      <c r="A18" s="204" t="str">
        <f>IF('HP Sizing Worksheet'!B43=6,"","U-Factor of Selected Window")</f>
        <v/>
      </c>
      <c r="B18" s="205"/>
      <c r="C18" s="174" t="str">
        <f>IF('HP Sizing Worksheet'!B43=6,"",INDEX('HP Sizing Worksheet'!D38:D43,'HP Sizing Worksheet'!B43,1))</f>
        <v/>
      </c>
    </row>
    <row r="19" spans="1:3" ht="18.75" thickBot="1" x14ac:dyDescent="0.3">
      <c r="A19" s="191" t="str">
        <f>IF('HP Sizing Worksheet'!B$43=6,"Enter U-Factor of NFRC Rated Window","Leave Blank=&gt;")</f>
        <v>Enter U-Factor of NFRC Rated Window</v>
      </c>
      <c r="B19" s="192"/>
      <c r="C19" s="161">
        <v>0.55000000000000004</v>
      </c>
    </row>
    <row r="20" spans="1:3" ht="18.75" thickBot="1" x14ac:dyDescent="0.3">
      <c r="A20" s="191" t="str">
        <f>IF('HP Sizing Worksheet'!B$43=6,"Enter SHGC of NFRC Rated Window","Leave Blank =&gt;")</f>
        <v>Enter SHGC of NFRC Rated Window</v>
      </c>
      <c r="B20" s="192"/>
      <c r="C20" s="180">
        <v>0.55000000000000004</v>
      </c>
    </row>
    <row r="21" spans="1:3" ht="18.75" thickBot="1" x14ac:dyDescent="0.3">
      <c r="A21" s="195" t="s">
        <v>300</v>
      </c>
      <c r="B21" s="196"/>
      <c r="C21" s="197"/>
    </row>
    <row r="22" spans="1:3" ht="18.75" thickBot="1" x14ac:dyDescent="0.3">
      <c r="A22" s="198" t="s">
        <v>157</v>
      </c>
      <c r="B22" s="198"/>
      <c r="C22" s="175">
        <v>50</v>
      </c>
    </row>
    <row r="23" spans="1:3" ht="18.75" thickBot="1" x14ac:dyDescent="0.3">
      <c r="A23" s="198" t="s">
        <v>217</v>
      </c>
      <c r="B23" s="198"/>
      <c r="C23" s="175"/>
    </row>
    <row r="24" spans="1:3" ht="18.75" thickBot="1" x14ac:dyDescent="0.3">
      <c r="A24" s="198" t="s">
        <v>167</v>
      </c>
      <c r="B24" s="198"/>
      <c r="C24" s="175">
        <v>50</v>
      </c>
    </row>
    <row r="25" spans="1:3" ht="18.75" thickBot="1" x14ac:dyDescent="0.3">
      <c r="A25" s="198" t="s">
        <v>168</v>
      </c>
      <c r="B25" s="198"/>
      <c r="C25" s="175"/>
    </row>
    <row r="26" spans="1:3" ht="18.75" thickBot="1" x14ac:dyDescent="0.3">
      <c r="A26" s="198" t="s">
        <v>205</v>
      </c>
      <c r="B26" s="198"/>
      <c r="C26" s="175">
        <v>50</v>
      </c>
    </row>
    <row r="27" spans="1:3" ht="18.75" thickBot="1" x14ac:dyDescent="0.3">
      <c r="A27" s="198" t="s">
        <v>170</v>
      </c>
      <c r="B27" s="198"/>
      <c r="C27" s="175"/>
    </row>
    <row r="28" spans="1:3" ht="18.75" thickBot="1" x14ac:dyDescent="0.3">
      <c r="A28" s="198" t="s">
        <v>171</v>
      </c>
      <c r="B28" s="198"/>
      <c r="C28" s="175">
        <v>50</v>
      </c>
    </row>
    <row r="29" spans="1:3" ht="18.75" thickBot="1" x14ac:dyDescent="0.3">
      <c r="A29" s="198" t="s">
        <v>172</v>
      </c>
      <c r="B29" s="198"/>
      <c r="C29" s="175"/>
    </row>
    <row r="30" spans="1:3" ht="18.75" thickBot="1" x14ac:dyDescent="0.3">
      <c r="A30" s="199" t="s">
        <v>282</v>
      </c>
      <c r="B30" s="200"/>
      <c r="C30" s="176">
        <f>SUM(C22:C29)</f>
        <v>200</v>
      </c>
    </row>
    <row r="31" spans="1:3" ht="18.75" thickBot="1" x14ac:dyDescent="0.3">
      <c r="A31" s="191" t="s">
        <v>4</v>
      </c>
      <c r="B31" s="192"/>
      <c r="C31" s="169"/>
    </row>
    <row r="32" spans="1:3" ht="18.75" thickBot="1" x14ac:dyDescent="0.3">
      <c r="A32" s="191" t="s">
        <v>275</v>
      </c>
      <c r="B32" s="192"/>
      <c r="C32" s="177">
        <f>IF(ISNA('HP Sizing Worksheet'!C1),"Use Manual J",'HP Sizing Worksheet'!C1)</f>
        <v>1.5</v>
      </c>
    </row>
    <row r="33" spans="1:3" ht="18.75" thickBot="1" x14ac:dyDescent="0.3">
      <c r="A33" s="191" t="s">
        <v>276</v>
      </c>
      <c r="B33" s="192"/>
      <c r="C33" s="177">
        <f>IF(WindowRatio&gt;0.18,"Use Manual J",'CAC Sizing Worksheet'!F24)</f>
        <v>1</v>
      </c>
    </row>
    <row r="34" spans="1:3" ht="18.75" thickBot="1" x14ac:dyDescent="0.3">
      <c r="A34" s="191" t="s">
        <v>307</v>
      </c>
      <c r="B34" s="192"/>
      <c r="C34" s="182">
        <f>ROUND(DesignLoad_Heat,-2)</f>
        <v>14100</v>
      </c>
    </row>
    <row r="35" spans="1:3" ht="18.75" thickBot="1" x14ac:dyDescent="0.3">
      <c r="A35" s="191" t="s">
        <v>308</v>
      </c>
      <c r="B35" s="192"/>
      <c r="C35" s="182">
        <f>ROUND(DesignLoad_Cool,-2)</f>
        <v>14000</v>
      </c>
    </row>
    <row r="36" spans="1:3" ht="51" customHeight="1" thickBot="1" x14ac:dyDescent="0.3">
      <c r="A36" s="201" t="s">
        <v>301</v>
      </c>
      <c r="B36" s="202"/>
      <c r="C36" s="203"/>
    </row>
  </sheetData>
  <sheetProtection password="C4BA" sheet="1" objects="1" scenarios="1" formatCells="0" formatColumns="0" formatRows="0" selectLockedCells="1"/>
  <mergeCells count="35">
    <mergeCell ref="A31:B31"/>
    <mergeCell ref="A32:B32"/>
    <mergeCell ref="A25:B25"/>
    <mergeCell ref="A36:C36"/>
    <mergeCell ref="A8:B8"/>
    <mergeCell ref="A9:B9"/>
    <mergeCell ref="A10:B10"/>
    <mergeCell ref="A11:B11"/>
    <mergeCell ref="A12:B12"/>
    <mergeCell ref="A13:B13"/>
    <mergeCell ref="A14:B14"/>
    <mergeCell ref="A24:B24"/>
    <mergeCell ref="A18:B18"/>
    <mergeCell ref="A19:B19"/>
    <mergeCell ref="A20:B20"/>
    <mergeCell ref="A15:B15"/>
    <mergeCell ref="A28:B28"/>
    <mergeCell ref="A16:B16"/>
    <mergeCell ref="A26:B26"/>
    <mergeCell ref="A1:C1"/>
    <mergeCell ref="A17:C17"/>
    <mergeCell ref="A34:B34"/>
    <mergeCell ref="A35:B35"/>
    <mergeCell ref="A33:B33"/>
    <mergeCell ref="B2:C2"/>
    <mergeCell ref="B3:C3"/>
    <mergeCell ref="B4:C4"/>
    <mergeCell ref="B5:C5"/>
    <mergeCell ref="A21:C21"/>
    <mergeCell ref="A7:B7"/>
    <mergeCell ref="A29:B29"/>
    <mergeCell ref="A22:B22"/>
    <mergeCell ref="A23:B23"/>
    <mergeCell ref="A30:B30"/>
    <mergeCell ref="A27:B27"/>
  </mergeCells>
  <phoneticPr fontId="0" type="noConversion"/>
  <conditionalFormatting sqref="C19:C20">
    <cfRule type="expression" dxfId="2" priority="1" stopIfTrue="1">
      <formula>$V$1&lt;6</formula>
    </cfRule>
    <cfRule type="expression" dxfId="1" priority="2" stopIfTrue="1">
      <formula>$V$1=6</formula>
    </cfRule>
  </conditionalFormatting>
  <conditionalFormatting sqref="C33:C35">
    <cfRule type="expression" dxfId="0" priority="3" stopIfTrue="1">
      <formula>WindowRatio&gt;0.18</formula>
    </cfRule>
  </conditionalFormatting>
  <dataValidations disablePrompts="1" count="1">
    <dataValidation type="custom" allowBlank="1" showInputMessage="1" showErrorMessage="1" error="Total window for all orientations does not match total for home." sqref="C30" xr:uid="{00000000-0002-0000-0100-000000000000}">
      <formula1>"B26=B12"</formula1>
    </dataValidation>
  </dataValidations>
  <pageMargins left="0.75" right="0.75" top="1" bottom="1" header="0.5" footer="0.5"/>
  <pageSetup scale="6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Drop Down 2">
              <controlPr defaultSize="0" autoLine="0" autoPict="0">
                <anchor moveWithCells="1">
                  <from>
                    <xdr:col>2</xdr:col>
                    <xdr:colOff>0</xdr:colOff>
                    <xdr:row>30</xdr:row>
                    <xdr:rowOff>38100</xdr:rowOff>
                  </from>
                  <to>
                    <xdr:col>2</xdr:col>
                    <xdr:colOff>2733675</xdr:colOff>
                    <xdr:row>31</xdr:row>
                    <xdr:rowOff>0</xdr:rowOff>
                  </to>
                </anchor>
              </controlPr>
            </control>
          </mc:Choice>
        </mc:AlternateContent>
        <mc:AlternateContent xmlns:mc="http://schemas.openxmlformats.org/markup-compatibility/2006">
          <mc:Choice Requires="x14">
            <control shapeId="2051" r:id="rId5" name="Drop Down 3">
              <controlPr defaultSize="0" autoLine="0" autoPict="0">
                <anchor moveWithCells="1">
                  <from>
                    <xdr:col>2</xdr:col>
                    <xdr:colOff>0</xdr:colOff>
                    <xdr:row>9</xdr:row>
                    <xdr:rowOff>200025</xdr:rowOff>
                  </from>
                  <to>
                    <xdr:col>3</xdr:col>
                    <xdr:colOff>0</xdr:colOff>
                    <xdr:row>10</xdr:row>
                    <xdr:rowOff>228600</xdr:rowOff>
                  </to>
                </anchor>
              </controlPr>
            </control>
          </mc:Choice>
        </mc:AlternateContent>
        <mc:AlternateContent xmlns:mc="http://schemas.openxmlformats.org/markup-compatibility/2006">
          <mc:Choice Requires="x14">
            <control shapeId="2052" r:id="rId6" name="Drop Down 4">
              <controlPr defaultSize="0" autoLine="0" autoPict="0">
                <anchor moveWithCells="1">
                  <from>
                    <xdr:col>2</xdr:col>
                    <xdr:colOff>0</xdr:colOff>
                    <xdr:row>16</xdr:row>
                    <xdr:rowOff>19050</xdr:rowOff>
                  </from>
                  <to>
                    <xdr:col>2</xdr:col>
                    <xdr:colOff>2733675</xdr:colOff>
                    <xdr:row>16</xdr:row>
                    <xdr:rowOff>247650</xdr:rowOff>
                  </to>
                </anchor>
              </controlPr>
            </control>
          </mc:Choice>
        </mc:AlternateContent>
        <mc:AlternateContent xmlns:mc="http://schemas.openxmlformats.org/markup-compatibility/2006">
          <mc:Choice Requires="x14">
            <control shapeId="2068" r:id="rId7" name="Drop Down 20">
              <controlPr defaultSize="0" autoLine="0" autoPict="0">
                <anchor moveWithCells="1">
                  <from>
                    <xdr:col>2</xdr:col>
                    <xdr:colOff>0</xdr:colOff>
                    <xdr:row>6</xdr:row>
                    <xdr:rowOff>47625</xdr:rowOff>
                  </from>
                  <to>
                    <xdr:col>2</xdr:col>
                    <xdr:colOff>2733675</xdr:colOff>
                    <xdr:row>6</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E87"/>
  <sheetViews>
    <sheetView workbookViewId="0">
      <selection activeCell="F24" sqref="F24"/>
    </sheetView>
  </sheetViews>
  <sheetFormatPr defaultRowHeight="12.75" x14ac:dyDescent="0.2"/>
  <cols>
    <col min="1" max="1" width="23.7109375" customWidth="1"/>
    <col min="2" max="2" width="13.7109375" customWidth="1"/>
    <col min="6" max="6" width="12.5703125" customWidth="1"/>
    <col min="8" max="8" width="9.5703125" customWidth="1"/>
    <col min="9" max="9" width="14.28515625" customWidth="1"/>
    <col min="11" max="11" width="15.7109375" customWidth="1"/>
    <col min="12" max="12" width="12.140625" customWidth="1"/>
    <col min="13" max="13" width="10.28515625" customWidth="1"/>
    <col min="15" max="15" width="16.5703125" customWidth="1"/>
    <col min="16" max="16" width="13.7109375" customWidth="1"/>
  </cols>
  <sheetData>
    <row r="1" spans="1:26" x14ac:dyDescent="0.2">
      <c r="A1" t="s">
        <v>223</v>
      </c>
    </row>
    <row r="2" spans="1:26" x14ac:dyDescent="0.2">
      <c r="L2" s="146" t="s">
        <v>212</v>
      </c>
      <c r="M2" s="146"/>
    </row>
    <row r="3" spans="1:26" x14ac:dyDescent="0.2">
      <c r="L3" s="146"/>
      <c r="M3" s="146" t="s">
        <v>160</v>
      </c>
      <c r="S3" s="137" t="s">
        <v>211</v>
      </c>
      <c r="T3" s="137"/>
      <c r="U3" s="137"/>
      <c r="V3" s="137"/>
      <c r="W3" s="137"/>
      <c r="X3" s="137"/>
      <c r="Y3" s="137"/>
      <c r="Z3" s="137"/>
    </row>
    <row r="4" spans="1:26" x14ac:dyDescent="0.2">
      <c r="A4" s="152" t="s">
        <v>277</v>
      </c>
      <c r="L4" s="146" t="s">
        <v>159</v>
      </c>
      <c r="M4" s="166">
        <v>0.1</v>
      </c>
      <c r="S4" s="137" t="s">
        <v>203</v>
      </c>
      <c r="T4" s="137" t="s">
        <v>166</v>
      </c>
      <c r="U4" s="137" t="s">
        <v>167</v>
      </c>
      <c r="V4" s="137" t="s">
        <v>204</v>
      </c>
      <c r="W4" s="137" t="s">
        <v>205</v>
      </c>
      <c r="X4" s="137" t="s">
        <v>206</v>
      </c>
      <c r="Y4" s="137" t="s">
        <v>207</v>
      </c>
      <c r="Z4" s="137" t="s">
        <v>208</v>
      </c>
    </row>
    <row r="5" spans="1:26" x14ac:dyDescent="0.2">
      <c r="A5" s="2" t="s">
        <v>220</v>
      </c>
      <c r="B5" s="2" t="s">
        <v>218</v>
      </c>
      <c r="C5" s="2" t="s">
        <v>163</v>
      </c>
      <c r="D5" s="2" t="s">
        <v>184</v>
      </c>
      <c r="E5" s="2" t="s">
        <v>216</v>
      </c>
      <c r="F5" s="2" t="s">
        <v>219</v>
      </c>
      <c r="L5" s="146" t="s">
        <v>165</v>
      </c>
      <c r="M5" s="166">
        <v>7.0000000000000007E-2</v>
      </c>
      <c r="S5" s="138">
        <v>-1.2081109925293454</v>
      </c>
      <c r="T5" s="138">
        <v>0.32203842049094078</v>
      </c>
      <c r="U5" s="138">
        <v>0.23319103521878048</v>
      </c>
      <c r="V5" s="138">
        <v>-0.45544290288152922</v>
      </c>
      <c r="W5" s="138">
        <v>1.1363393810032107</v>
      </c>
      <c r="X5" s="138">
        <v>0.68089647812166731</v>
      </c>
      <c r="Y5" s="138">
        <v>0.32417289220917667</v>
      </c>
      <c r="Z5" s="138">
        <v>-8.4231590181430036</v>
      </c>
    </row>
    <row r="6" spans="1:26" ht="13.5" thickBot="1" x14ac:dyDescent="0.25">
      <c r="A6" s="131" t="s">
        <v>157</v>
      </c>
      <c r="B6" s="1">
        <f>'PTCS Sizing Calculator'!C22</f>
        <v>50</v>
      </c>
      <c r="C6" s="1">
        <f t="shared" ref="C6:C13" si="0">SHGCChosen</f>
        <v>0.55000000000000004</v>
      </c>
      <c r="D6" s="147">
        <v>-0.16900000000000001</v>
      </c>
      <c r="E6" s="147">
        <v>19.02</v>
      </c>
      <c r="F6" s="15">
        <f>B6*(D6+(C6*E6))</f>
        <v>514.6</v>
      </c>
      <c r="L6" s="146"/>
      <c r="M6" s="166"/>
      <c r="S6" s="139">
        <v>35.965848452507998</v>
      </c>
      <c r="T6" s="139">
        <v>77.934898612593358</v>
      </c>
      <c r="U6" s="139">
        <v>140.98185699039487</v>
      </c>
      <c r="V6" s="139">
        <v>142.55602988260404</v>
      </c>
      <c r="W6" s="139">
        <v>109.2582710779082</v>
      </c>
      <c r="X6" s="139">
        <v>151.81430096051227</v>
      </c>
      <c r="Y6" s="139">
        <v>163.20704375667023</v>
      </c>
      <c r="Z6" s="139">
        <v>119.79722518676627</v>
      </c>
    </row>
    <row r="7" spans="1:26" x14ac:dyDescent="0.2">
      <c r="A7" s="131" t="s">
        <v>217</v>
      </c>
      <c r="B7" s="1">
        <f>'PTCS Sizing Calculator'!C23</f>
        <v>0</v>
      </c>
      <c r="C7" s="1">
        <f t="shared" si="0"/>
        <v>0.55000000000000004</v>
      </c>
      <c r="D7" s="147">
        <v>6.3E-2</v>
      </c>
      <c r="E7" s="147">
        <v>61.84</v>
      </c>
      <c r="F7" s="15">
        <f t="shared" ref="F7:F13" si="1">B7*(D7+(C7*E7))</f>
        <v>0</v>
      </c>
      <c r="L7" s="146" t="s">
        <v>161</v>
      </c>
      <c r="M7" s="166">
        <v>0.08</v>
      </c>
    </row>
    <row r="8" spans="1:26" x14ac:dyDescent="0.2">
      <c r="A8" s="131" t="s">
        <v>167</v>
      </c>
      <c r="B8" s="1">
        <f>'PTCS Sizing Calculator'!C24</f>
        <v>50</v>
      </c>
      <c r="C8" s="1">
        <f t="shared" si="0"/>
        <v>0.55000000000000004</v>
      </c>
      <c r="D8" s="147">
        <v>-3.5400000000000001E-2</v>
      </c>
      <c r="E8" s="147">
        <v>94.82</v>
      </c>
      <c r="F8" s="15">
        <f t="shared" si="1"/>
        <v>2605.7800000000002</v>
      </c>
      <c r="L8" s="146" t="s">
        <v>162</v>
      </c>
      <c r="M8" s="166">
        <v>0.05</v>
      </c>
      <c r="S8" t="s">
        <v>173</v>
      </c>
    </row>
    <row r="9" spans="1:26" x14ac:dyDescent="0.2">
      <c r="A9" s="131" t="s">
        <v>168</v>
      </c>
      <c r="B9" s="1">
        <f>'PTCS Sizing Calculator'!C25</f>
        <v>0</v>
      </c>
      <c r="C9" s="1">
        <f t="shared" si="0"/>
        <v>0.55000000000000004</v>
      </c>
      <c r="D9" s="147">
        <v>0.14799999999999999</v>
      </c>
      <c r="E9" s="147">
        <v>78.254999999999995</v>
      </c>
      <c r="F9" s="15">
        <f t="shared" si="1"/>
        <v>0</v>
      </c>
      <c r="L9" s="146" t="s">
        <v>164</v>
      </c>
      <c r="M9" s="166">
        <v>3.2000000000000001E-2</v>
      </c>
    </row>
    <row r="10" spans="1:26" x14ac:dyDescent="0.2">
      <c r="A10" s="131" t="s">
        <v>169</v>
      </c>
      <c r="B10" s="1">
        <f>'PTCS Sizing Calculator'!C26</f>
        <v>50</v>
      </c>
      <c r="C10" s="1">
        <f t="shared" si="0"/>
        <v>0.55000000000000004</v>
      </c>
      <c r="D10" s="147">
        <v>0.38500000000000001</v>
      </c>
      <c r="E10" s="147">
        <v>39.78</v>
      </c>
      <c r="F10" s="15">
        <f t="shared" si="1"/>
        <v>1113.2</v>
      </c>
      <c r="L10" s="146" t="s">
        <v>290</v>
      </c>
      <c r="M10" s="166">
        <v>2.5999999999999999E-2</v>
      </c>
    </row>
    <row r="11" spans="1:26" x14ac:dyDescent="0.2">
      <c r="A11" s="131" t="s">
        <v>170</v>
      </c>
      <c r="B11" s="1">
        <f>'PTCS Sizing Calculator'!C27</f>
        <v>0</v>
      </c>
      <c r="C11" s="1">
        <f t="shared" si="0"/>
        <v>0.55000000000000004</v>
      </c>
      <c r="D11" s="147">
        <f>+D9</f>
        <v>0.14799999999999999</v>
      </c>
      <c r="E11" s="147">
        <f>+E9</f>
        <v>78.254999999999995</v>
      </c>
      <c r="F11" s="15">
        <f t="shared" si="1"/>
        <v>0</v>
      </c>
    </row>
    <row r="12" spans="1:26" x14ac:dyDescent="0.2">
      <c r="A12" s="131" t="s">
        <v>171</v>
      </c>
      <c r="B12" s="1">
        <f>'PTCS Sizing Calculator'!C28</f>
        <v>50</v>
      </c>
      <c r="C12" s="1">
        <f t="shared" si="0"/>
        <v>0.55000000000000004</v>
      </c>
      <c r="D12" s="147">
        <f>+D8</f>
        <v>-3.5400000000000001E-2</v>
      </c>
      <c r="E12" s="147">
        <f>+E8</f>
        <v>94.82</v>
      </c>
      <c r="F12" s="15">
        <f t="shared" si="1"/>
        <v>2605.7800000000002</v>
      </c>
      <c r="L12" s="2" t="s">
        <v>213</v>
      </c>
      <c r="M12" s="2"/>
      <c r="N12" s="2"/>
      <c r="O12" s="2"/>
      <c r="P12" s="2"/>
      <c r="Q12" s="2"/>
      <c r="R12" s="2"/>
    </row>
    <row r="13" spans="1:26" ht="13.5" thickBot="1" x14ac:dyDescent="0.25">
      <c r="A13" s="162" t="s">
        <v>172</v>
      </c>
      <c r="B13" s="163">
        <f>'PTCS Sizing Calculator'!C29</f>
        <v>0</v>
      </c>
      <c r="C13" s="163">
        <f t="shared" si="0"/>
        <v>0.55000000000000004</v>
      </c>
      <c r="D13" s="164">
        <f>+D7</f>
        <v>6.3E-2</v>
      </c>
      <c r="E13" s="164">
        <f>+E7</f>
        <v>61.84</v>
      </c>
      <c r="F13" s="158">
        <f t="shared" si="1"/>
        <v>0</v>
      </c>
      <c r="L13" s="2" t="s">
        <v>210</v>
      </c>
      <c r="M13" s="2"/>
      <c r="N13" s="2"/>
      <c r="O13" s="2"/>
      <c r="P13" s="2"/>
      <c r="Q13" s="2"/>
      <c r="R13" s="2"/>
    </row>
    <row r="14" spans="1:26" ht="13.5" thickBot="1" x14ac:dyDescent="0.25">
      <c r="A14" s="207" t="s">
        <v>278</v>
      </c>
      <c r="B14" s="208"/>
      <c r="C14" s="208"/>
      <c r="D14" s="208"/>
      <c r="E14" s="209"/>
      <c r="F14" s="153">
        <f>SUM(F6:F13)</f>
        <v>6839.3600000000006</v>
      </c>
      <c r="L14" s="2" t="s">
        <v>163</v>
      </c>
      <c r="M14" s="2">
        <v>0.74</v>
      </c>
      <c r="N14" s="2">
        <v>0.65</v>
      </c>
      <c r="O14" s="2">
        <v>0.61</v>
      </c>
      <c r="P14" s="2">
        <v>0.52</v>
      </c>
      <c r="Q14" s="2">
        <v>0.44</v>
      </c>
      <c r="R14" s="2">
        <v>0.3</v>
      </c>
    </row>
    <row r="15" spans="1:26" ht="13.5" thickBot="1" x14ac:dyDescent="0.25">
      <c r="L15" s="2" t="s">
        <v>157</v>
      </c>
      <c r="M15" s="2">
        <v>25</v>
      </c>
      <c r="N15" s="2">
        <v>23</v>
      </c>
      <c r="O15" s="2">
        <v>21</v>
      </c>
      <c r="P15" s="2">
        <v>17</v>
      </c>
      <c r="Q15" s="2">
        <v>14</v>
      </c>
      <c r="R15" s="2">
        <v>10</v>
      </c>
    </row>
    <row r="16" spans="1:26" ht="13.5" thickBot="1" x14ac:dyDescent="0.25">
      <c r="A16" s="207" t="s">
        <v>221</v>
      </c>
      <c r="B16" s="208"/>
      <c r="C16" s="208"/>
      <c r="D16" s="208"/>
      <c r="E16" s="209"/>
      <c r="F16" s="153">
        <v>3000</v>
      </c>
      <c r="L16" s="2" t="s">
        <v>166</v>
      </c>
      <c r="M16" s="2">
        <v>58</v>
      </c>
      <c r="N16" s="2">
        <v>51</v>
      </c>
      <c r="O16" s="2">
        <v>48</v>
      </c>
      <c r="P16" s="2">
        <v>41</v>
      </c>
      <c r="Q16" s="2">
        <v>34</v>
      </c>
      <c r="R16" s="2">
        <v>24</v>
      </c>
    </row>
    <row r="17" spans="1:31" ht="13.5" thickBot="1" x14ac:dyDescent="0.25">
      <c r="L17" s="2" t="s">
        <v>167</v>
      </c>
      <c r="M17" s="2">
        <v>104</v>
      </c>
      <c r="N17" s="2">
        <v>93</v>
      </c>
      <c r="O17" s="2">
        <v>86</v>
      </c>
      <c r="P17" s="2">
        <v>74</v>
      </c>
      <c r="Q17" s="2">
        <v>61</v>
      </c>
      <c r="R17" s="2">
        <v>43</v>
      </c>
    </row>
    <row r="18" spans="1:31" ht="13.5" thickBot="1" x14ac:dyDescent="0.25">
      <c r="A18" s="207" t="s">
        <v>283</v>
      </c>
      <c r="B18" s="208"/>
      <c r="C18" s="208"/>
      <c r="D18" s="208"/>
      <c r="E18" s="209"/>
      <c r="F18" s="153">
        <f>'HP Sizing Worksheet'!G44*DeltaT_Cool</f>
        <v>1794.8762709395485</v>
      </c>
      <c r="L18" s="2" t="s">
        <v>168</v>
      </c>
      <c r="M18" s="2">
        <v>105</v>
      </c>
      <c r="N18" s="2">
        <v>93</v>
      </c>
      <c r="O18" s="2">
        <v>86</v>
      </c>
      <c r="P18" s="2">
        <v>74</v>
      </c>
      <c r="Q18" s="2">
        <v>61</v>
      </c>
      <c r="R18" s="2">
        <v>43</v>
      </c>
    </row>
    <row r="19" spans="1:31" ht="13.5" thickBot="1" x14ac:dyDescent="0.25">
      <c r="L19" s="2" t="s">
        <v>169</v>
      </c>
      <c r="M19" s="2">
        <v>82</v>
      </c>
      <c r="N19" s="2">
        <v>72</v>
      </c>
      <c r="O19" s="2">
        <v>68</v>
      </c>
      <c r="P19" s="2">
        <v>58</v>
      </c>
      <c r="Q19" s="2">
        <v>49</v>
      </c>
      <c r="R19" s="2">
        <v>34</v>
      </c>
    </row>
    <row r="20" spans="1:31" ht="13.5" thickBot="1" x14ac:dyDescent="0.25">
      <c r="A20" s="207" t="s">
        <v>284</v>
      </c>
      <c r="B20" s="208"/>
      <c r="C20" s="208"/>
      <c r="D20" s="208"/>
      <c r="E20" s="209"/>
      <c r="F20" s="153">
        <f>DuctLosses*(F14+F16+F18)</f>
        <v>2326.84725418791</v>
      </c>
      <c r="L20" s="2" t="s">
        <v>170</v>
      </c>
      <c r="M20" s="2">
        <v>113</v>
      </c>
      <c r="N20" s="2">
        <v>100</v>
      </c>
      <c r="O20" s="2">
        <v>93</v>
      </c>
      <c r="P20" s="2">
        <v>80</v>
      </c>
      <c r="Q20" s="2">
        <v>66</v>
      </c>
      <c r="R20" s="2">
        <v>47</v>
      </c>
    </row>
    <row r="21" spans="1:31" ht="13.5" thickBot="1" x14ac:dyDescent="0.25">
      <c r="L21" s="2" t="s">
        <v>171</v>
      </c>
      <c r="M21" s="2">
        <v>121</v>
      </c>
      <c r="N21" s="2">
        <v>107</v>
      </c>
      <c r="O21" s="2">
        <v>100</v>
      </c>
      <c r="P21" s="2">
        <v>85</v>
      </c>
      <c r="Q21" s="2">
        <v>71</v>
      </c>
      <c r="R21" s="2">
        <v>50</v>
      </c>
    </row>
    <row r="22" spans="1:31" ht="13.5" thickBot="1" x14ac:dyDescent="0.25">
      <c r="A22" s="207" t="s">
        <v>288</v>
      </c>
      <c r="B22" s="208"/>
      <c r="C22" s="208"/>
      <c r="D22" s="208"/>
      <c r="E22" s="209"/>
      <c r="F22" s="153">
        <f>(F14+F16+F18+F20)</f>
        <v>13961.083525127458</v>
      </c>
      <c r="L22" s="2" t="s">
        <v>172</v>
      </c>
      <c r="M22" s="2">
        <v>83</v>
      </c>
      <c r="N22" s="2">
        <v>70</v>
      </c>
      <c r="O22" s="2">
        <v>62</v>
      </c>
      <c r="P22" s="2">
        <v>52</v>
      </c>
      <c r="Q22" s="2">
        <v>43</v>
      </c>
      <c r="R22" s="2">
        <v>30</v>
      </c>
    </row>
    <row r="23" spans="1:31" ht="13.5" thickBot="1" x14ac:dyDescent="0.25"/>
    <row r="24" spans="1:31" ht="13.5" thickBot="1" x14ac:dyDescent="0.25">
      <c r="A24" s="207" t="s">
        <v>289</v>
      </c>
      <c r="B24" s="208"/>
      <c r="C24" s="208"/>
      <c r="D24" s="208"/>
      <c r="E24" s="209"/>
      <c r="F24" s="165">
        <f>IF((F22-(VALUE((MID((F22/12000),1,1))))*12000)&gt;6000,(VALUE((MID((F22/12000),1,1))))+1,IF((F22-(VALUE((MID((F22/12000),1,1))))*12000)&gt;3000,(VALUE((MID((F22/12000),1,1))))+0.5,(VALUE((MID((F22/12000),1,1))))))</f>
        <v>1</v>
      </c>
      <c r="L24" s="143" t="s">
        <v>294</v>
      </c>
      <c r="M24" s="143"/>
      <c r="N24" s="143"/>
      <c r="O24" s="143"/>
      <c r="P24" s="143"/>
      <c r="Q24" s="143"/>
      <c r="R24" s="143"/>
      <c r="S24" s="143"/>
      <c r="T24" s="143"/>
      <c r="U24" s="143"/>
      <c r="V24" s="143"/>
      <c r="W24" s="143"/>
      <c r="X24" s="143"/>
      <c r="Y24" s="143"/>
      <c r="Z24" s="143"/>
      <c r="AA24" s="143"/>
      <c r="AB24" s="143"/>
      <c r="AC24" s="143"/>
      <c r="AD24" s="143"/>
      <c r="AE24" s="143"/>
    </row>
    <row r="25" spans="1:31" x14ac:dyDescent="0.2">
      <c r="L25" s="143" t="s">
        <v>163</v>
      </c>
      <c r="M25" s="144">
        <v>0.8</v>
      </c>
      <c r="N25" s="144">
        <f>+M25-0.03</f>
        <v>0.77</v>
      </c>
      <c r="O25" s="144">
        <f t="shared" ref="O25:AE25" si="2">+N25-0.03</f>
        <v>0.74</v>
      </c>
      <c r="P25" s="144">
        <f t="shared" si="2"/>
        <v>0.71</v>
      </c>
      <c r="Q25" s="144">
        <f t="shared" si="2"/>
        <v>0.67999999999999994</v>
      </c>
      <c r="R25" s="144">
        <f t="shared" si="2"/>
        <v>0.64999999999999991</v>
      </c>
      <c r="S25" s="144">
        <f t="shared" si="2"/>
        <v>0.61999999999999988</v>
      </c>
      <c r="T25" s="144">
        <f t="shared" si="2"/>
        <v>0.58999999999999986</v>
      </c>
      <c r="U25" s="144">
        <f t="shared" si="2"/>
        <v>0.55999999999999983</v>
      </c>
      <c r="V25" s="144">
        <f t="shared" si="2"/>
        <v>0.5299999999999998</v>
      </c>
      <c r="W25" s="144">
        <f t="shared" si="2"/>
        <v>0.49999999999999978</v>
      </c>
      <c r="X25" s="144">
        <f t="shared" si="2"/>
        <v>0.46999999999999975</v>
      </c>
      <c r="Y25" s="144">
        <f t="shared" si="2"/>
        <v>0.43999999999999972</v>
      </c>
      <c r="Z25" s="144">
        <f t="shared" si="2"/>
        <v>0.4099999999999997</v>
      </c>
      <c r="AA25" s="144">
        <f t="shared" si="2"/>
        <v>0.37999999999999967</v>
      </c>
      <c r="AB25" s="144">
        <f t="shared" si="2"/>
        <v>0.34999999999999964</v>
      </c>
      <c r="AC25" s="144">
        <f t="shared" si="2"/>
        <v>0.31999999999999962</v>
      </c>
      <c r="AD25" s="144">
        <f t="shared" si="2"/>
        <v>0.28999999999999959</v>
      </c>
      <c r="AE25" s="144">
        <f t="shared" si="2"/>
        <v>0.25999999999999956</v>
      </c>
    </row>
    <row r="26" spans="1:31" x14ac:dyDescent="0.2">
      <c r="A26" t="s">
        <v>292</v>
      </c>
      <c r="F26" s="20">
        <f>WindowArea/FloorArea</f>
        <v>0.16666666666666666</v>
      </c>
      <c r="L26" s="143" t="s">
        <v>157</v>
      </c>
      <c r="M26" s="145">
        <f>+$S$5+($S$6*M$25)</f>
        <v>27.564567769477055</v>
      </c>
      <c r="N26" s="145">
        <f t="shared" ref="N26:AE26" si="3">+$S5+($S6*N25)</f>
        <v>26.485592315901815</v>
      </c>
      <c r="O26" s="145">
        <f t="shared" si="3"/>
        <v>25.406616862326572</v>
      </c>
      <c r="P26" s="145">
        <f t="shared" si="3"/>
        <v>24.327641408751333</v>
      </c>
      <c r="Q26" s="145">
        <f t="shared" si="3"/>
        <v>23.24866595517609</v>
      </c>
      <c r="R26" s="145">
        <f t="shared" si="3"/>
        <v>22.169690501600851</v>
      </c>
      <c r="S26" s="145">
        <f t="shared" si="3"/>
        <v>21.090715048025608</v>
      </c>
      <c r="T26" s="145">
        <f t="shared" si="3"/>
        <v>20.011739594450368</v>
      </c>
      <c r="U26" s="145">
        <f t="shared" si="3"/>
        <v>18.932764140875129</v>
      </c>
      <c r="V26" s="145">
        <f t="shared" si="3"/>
        <v>17.853788687299886</v>
      </c>
      <c r="W26" s="145">
        <f t="shared" si="3"/>
        <v>16.774813233724647</v>
      </c>
      <c r="X26" s="145">
        <f t="shared" si="3"/>
        <v>15.695837780149404</v>
      </c>
      <c r="Y26" s="145">
        <f t="shared" si="3"/>
        <v>14.616862326574164</v>
      </c>
      <c r="Z26" s="145">
        <f t="shared" si="3"/>
        <v>13.537886872998923</v>
      </c>
      <c r="AA26" s="145">
        <f t="shared" si="3"/>
        <v>12.458911419423682</v>
      </c>
      <c r="AB26" s="145">
        <f t="shared" si="3"/>
        <v>11.379935965848441</v>
      </c>
      <c r="AC26" s="145">
        <f t="shared" si="3"/>
        <v>10.3009605122732</v>
      </c>
      <c r="AD26" s="145">
        <f t="shared" si="3"/>
        <v>9.2219850586979586</v>
      </c>
      <c r="AE26" s="145">
        <f t="shared" si="3"/>
        <v>8.1430096051227192</v>
      </c>
    </row>
    <row r="27" spans="1:31" x14ac:dyDescent="0.2">
      <c r="L27" s="143" t="s">
        <v>166</v>
      </c>
      <c r="M27" s="145">
        <f>+$T$5+($T$6*M$25)</f>
        <v>62.669957310565628</v>
      </c>
      <c r="N27" s="145">
        <f t="shared" ref="N27:AE27" si="4">+$T$5+($T$6*N$25)</f>
        <v>60.331910352187826</v>
      </c>
      <c r="O27" s="145">
        <f t="shared" si="4"/>
        <v>57.993863393810024</v>
      </c>
      <c r="P27" s="145">
        <f t="shared" si="4"/>
        <v>55.655816435432222</v>
      </c>
      <c r="Q27" s="145">
        <f t="shared" si="4"/>
        <v>53.317769477054419</v>
      </c>
      <c r="R27" s="145">
        <f t="shared" si="4"/>
        <v>50.979722518676617</v>
      </c>
      <c r="S27" s="145">
        <f t="shared" si="4"/>
        <v>48.641675560298815</v>
      </c>
      <c r="T27" s="145">
        <f t="shared" si="4"/>
        <v>46.303628601921012</v>
      </c>
      <c r="U27" s="145">
        <f t="shared" si="4"/>
        <v>43.96558164354321</v>
      </c>
      <c r="V27" s="145">
        <f t="shared" si="4"/>
        <v>41.627534685165408</v>
      </c>
      <c r="W27" s="145">
        <f t="shared" si="4"/>
        <v>39.289487726787605</v>
      </c>
      <c r="X27" s="145">
        <f t="shared" si="4"/>
        <v>36.951440768409796</v>
      </c>
      <c r="Y27" s="145">
        <f t="shared" si="4"/>
        <v>34.613393810031994</v>
      </c>
      <c r="Z27" s="145">
        <f t="shared" si="4"/>
        <v>32.275346851654191</v>
      </c>
      <c r="AA27" s="145">
        <f t="shared" si="4"/>
        <v>29.937299893276393</v>
      </c>
      <c r="AB27" s="145">
        <f t="shared" si="4"/>
        <v>27.599252934898587</v>
      </c>
      <c r="AC27" s="145">
        <f t="shared" si="4"/>
        <v>25.261205976520785</v>
      </c>
      <c r="AD27" s="145">
        <f t="shared" si="4"/>
        <v>22.923159018142982</v>
      </c>
      <c r="AE27" s="145">
        <f t="shared" si="4"/>
        <v>20.58511205976518</v>
      </c>
    </row>
    <row r="28" spans="1:31" x14ac:dyDescent="0.2">
      <c r="L28" s="143" t="s">
        <v>167</v>
      </c>
      <c r="M28" s="145">
        <f>+$U$5+($U$6*M$25)</f>
        <v>113.01867662753469</v>
      </c>
      <c r="N28" s="145">
        <f t="shared" ref="N28:AE28" si="5">+$U$5+($U$6*N$25)</f>
        <v>108.78922091782283</v>
      </c>
      <c r="O28" s="145">
        <f t="shared" si="5"/>
        <v>104.55976520811099</v>
      </c>
      <c r="P28" s="145">
        <f t="shared" si="5"/>
        <v>100.33030949839913</v>
      </c>
      <c r="Q28" s="145">
        <f t="shared" si="5"/>
        <v>96.100853788687289</v>
      </c>
      <c r="R28" s="145">
        <f t="shared" si="5"/>
        <v>91.871398078975432</v>
      </c>
      <c r="S28" s="145">
        <f t="shared" si="5"/>
        <v>87.641942369263589</v>
      </c>
      <c r="T28" s="145">
        <f t="shared" si="5"/>
        <v>83.412486659551732</v>
      </c>
      <c r="U28" s="145">
        <f t="shared" si="5"/>
        <v>79.183030949839889</v>
      </c>
      <c r="V28" s="145">
        <f t="shared" si="5"/>
        <v>74.953575240128032</v>
      </c>
      <c r="W28" s="145">
        <f t="shared" si="5"/>
        <v>70.724119530416189</v>
      </c>
      <c r="X28" s="145">
        <f t="shared" si="5"/>
        <v>66.494663820704332</v>
      </c>
      <c r="Y28" s="145">
        <f t="shared" si="5"/>
        <v>62.265208110992489</v>
      </c>
      <c r="Z28" s="145">
        <f t="shared" si="5"/>
        <v>58.035752401280639</v>
      </c>
      <c r="AA28" s="145">
        <f t="shared" si="5"/>
        <v>53.806296691568789</v>
      </c>
      <c r="AB28" s="145">
        <f t="shared" si="5"/>
        <v>49.57684098185694</v>
      </c>
      <c r="AC28" s="145">
        <f t="shared" si="5"/>
        <v>45.34738527214509</v>
      </c>
      <c r="AD28" s="145">
        <f t="shared" si="5"/>
        <v>41.11792956243324</v>
      </c>
      <c r="AE28" s="145">
        <f t="shared" si="5"/>
        <v>36.88847385272139</v>
      </c>
    </row>
    <row r="29" spans="1:31" x14ac:dyDescent="0.2">
      <c r="L29" s="143" t="s">
        <v>168</v>
      </c>
      <c r="M29" s="145">
        <f>+$V$5+($V$6*M$25)</f>
        <v>113.58938100320171</v>
      </c>
      <c r="N29" s="145">
        <f t="shared" ref="N29:AE29" si="6">+$V$5+($V$6*N$25)</f>
        <v>109.31270010672358</v>
      </c>
      <c r="O29" s="145">
        <f t="shared" si="6"/>
        <v>105.03601921024546</v>
      </c>
      <c r="P29" s="145">
        <f t="shared" si="6"/>
        <v>100.75933831376733</v>
      </c>
      <c r="Q29" s="145">
        <f t="shared" si="6"/>
        <v>96.482657417289204</v>
      </c>
      <c r="R29" s="145">
        <f t="shared" si="6"/>
        <v>92.205976520811078</v>
      </c>
      <c r="S29" s="145">
        <f t="shared" si="6"/>
        <v>87.929295624332951</v>
      </c>
      <c r="T29" s="145">
        <f t="shared" si="6"/>
        <v>83.652614727854825</v>
      </c>
      <c r="U29" s="145">
        <f t="shared" si="6"/>
        <v>79.375933831376713</v>
      </c>
      <c r="V29" s="145">
        <f t="shared" si="6"/>
        <v>75.099252934898587</v>
      </c>
      <c r="W29" s="145">
        <f t="shared" si="6"/>
        <v>70.822572038420461</v>
      </c>
      <c r="X29" s="145">
        <f t="shared" si="6"/>
        <v>66.545891141942334</v>
      </c>
      <c r="Y29" s="145">
        <f t="shared" si="6"/>
        <v>62.269210245464208</v>
      </c>
      <c r="Z29" s="145">
        <f t="shared" si="6"/>
        <v>57.992529348986082</v>
      </c>
      <c r="AA29" s="145">
        <f t="shared" si="6"/>
        <v>53.715848452507956</v>
      </c>
      <c r="AB29" s="145">
        <f t="shared" si="6"/>
        <v>49.43916755602983</v>
      </c>
      <c r="AC29" s="145">
        <f t="shared" si="6"/>
        <v>45.16248665955171</v>
      </c>
      <c r="AD29" s="145">
        <f t="shared" si="6"/>
        <v>40.885805763073584</v>
      </c>
      <c r="AE29" s="145">
        <f t="shared" si="6"/>
        <v>36.609124866595458</v>
      </c>
    </row>
    <row r="30" spans="1:31" x14ac:dyDescent="0.2">
      <c r="L30" s="143" t="s">
        <v>169</v>
      </c>
      <c r="M30" s="145">
        <f>+$W$5+($W$6*M$25)</f>
        <v>88.542956243329783</v>
      </c>
      <c r="N30" s="145">
        <f t="shared" ref="N30:AE30" si="7">+$W$5+($W$6*N$25)</f>
        <v>85.265208110992532</v>
      </c>
      <c r="O30" s="145">
        <f t="shared" si="7"/>
        <v>81.987459978655281</v>
      </c>
      <c r="P30" s="145">
        <f t="shared" si="7"/>
        <v>78.709711846318029</v>
      </c>
      <c r="Q30" s="145">
        <f t="shared" si="7"/>
        <v>75.431963713980778</v>
      </c>
      <c r="R30" s="145">
        <f t="shared" si="7"/>
        <v>72.154215581643541</v>
      </c>
      <c r="S30" s="145">
        <f t="shared" si="7"/>
        <v>68.87646744930629</v>
      </c>
      <c r="T30" s="145">
        <f t="shared" si="7"/>
        <v>65.598719316969039</v>
      </c>
      <c r="U30" s="145">
        <f t="shared" si="7"/>
        <v>62.320971184631787</v>
      </c>
      <c r="V30" s="145">
        <f t="shared" si="7"/>
        <v>59.043223052294536</v>
      </c>
      <c r="W30" s="145">
        <f t="shared" si="7"/>
        <v>55.765474919957292</v>
      </c>
      <c r="X30" s="145">
        <f t="shared" si="7"/>
        <v>52.487726787620041</v>
      </c>
      <c r="Y30" s="145">
        <f t="shared" si="7"/>
        <v>49.209978655282789</v>
      </c>
      <c r="Z30" s="145">
        <f t="shared" si="7"/>
        <v>45.932230522945545</v>
      </c>
      <c r="AA30" s="145">
        <f t="shared" si="7"/>
        <v>42.654482390608294</v>
      </c>
      <c r="AB30" s="145">
        <f t="shared" si="7"/>
        <v>39.376734258271043</v>
      </c>
      <c r="AC30" s="145">
        <f t="shared" si="7"/>
        <v>36.098986125933791</v>
      </c>
      <c r="AD30" s="145">
        <f t="shared" si="7"/>
        <v>32.821237993596547</v>
      </c>
      <c r="AE30" s="145">
        <f t="shared" si="7"/>
        <v>29.543489861259296</v>
      </c>
    </row>
    <row r="31" spans="1:31" x14ac:dyDescent="0.2">
      <c r="L31" s="143" t="s">
        <v>170</v>
      </c>
      <c r="M31" s="145">
        <f>+$X$5+($X$6*M$25)</f>
        <v>122.13233724653149</v>
      </c>
      <c r="N31" s="145">
        <f t="shared" ref="N31:AE31" si="8">+$X$5+($X$6*N$25)</f>
        <v>117.57790821771611</v>
      </c>
      <c r="O31" s="145">
        <f t="shared" si="8"/>
        <v>113.02347918890075</v>
      </c>
      <c r="P31" s="145">
        <f t="shared" si="8"/>
        <v>108.46905016008537</v>
      </c>
      <c r="Q31" s="145">
        <f t="shared" si="8"/>
        <v>103.91462113127</v>
      </c>
      <c r="R31" s="145">
        <f t="shared" si="8"/>
        <v>99.360192102454633</v>
      </c>
      <c r="S31" s="145">
        <f t="shared" si="8"/>
        <v>94.805763073639255</v>
      </c>
      <c r="T31" s="145">
        <f t="shared" si="8"/>
        <v>90.251334044823892</v>
      </c>
      <c r="U31" s="145">
        <f t="shared" si="8"/>
        <v>85.696905016008515</v>
      </c>
      <c r="V31" s="145">
        <f t="shared" si="8"/>
        <v>81.142475987193137</v>
      </c>
      <c r="W31" s="145">
        <f t="shared" si="8"/>
        <v>76.588046958377774</v>
      </c>
      <c r="X31" s="145">
        <f t="shared" si="8"/>
        <v>72.033617929562396</v>
      </c>
      <c r="Y31" s="145">
        <f t="shared" si="8"/>
        <v>67.479188900747019</v>
      </c>
      <c r="Z31" s="145">
        <f t="shared" si="8"/>
        <v>62.924759871931656</v>
      </c>
      <c r="AA31" s="145">
        <f t="shared" si="8"/>
        <v>58.370330843116278</v>
      </c>
      <c r="AB31" s="145">
        <f t="shared" si="8"/>
        <v>53.815901814300908</v>
      </c>
      <c r="AC31" s="145">
        <f t="shared" si="8"/>
        <v>49.261472785485537</v>
      </c>
      <c r="AD31" s="145">
        <f t="shared" si="8"/>
        <v>44.707043756670167</v>
      </c>
      <c r="AE31" s="145">
        <f t="shared" si="8"/>
        <v>40.15261472785479</v>
      </c>
    </row>
    <row r="32" spans="1:31" x14ac:dyDescent="0.2">
      <c r="L32" s="143" t="s">
        <v>171</v>
      </c>
      <c r="M32" s="145">
        <f>+$Y$5+($Y$6*M$25)</f>
        <v>130.88980789754538</v>
      </c>
      <c r="N32" s="145">
        <f t="shared" ref="N32:AE32" si="9">+$Y$5+($Y$6*N$25)</f>
        <v>125.99359658484526</v>
      </c>
      <c r="O32" s="145">
        <f t="shared" si="9"/>
        <v>121.09738527214515</v>
      </c>
      <c r="P32" s="145">
        <f t="shared" si="9"/>
        <v>116.20117395944503</v>
      </c>
      <c r="Q32" s="145">
        <f t="shared" si="9"/>
        <v>111.30496264674493</v>
      </c>
      <c r="R32" s="145">
        <f t="shared" si="9"/>
        <v>106.40875133404481</v>
      </c>
      <c r="S32" s="145">
        <f t="shared" si="9"/>
        <v>101.51254002134471</v>
      </c>
      <c r="T32" s="145">
        <f t="shared" si="9"/>
        <v>96.616328708644588</v>
      </c>
      <c r="U32" s="145">
        <f t="shared" si="9"/>
        <v>91.720117395944484</v>
      </c>
      <c r="V32" s="145">
        <f t="shared" si="9"/>
        <v>86.823906083244367</v>
      </c>
      <c r="W32" s="145">
        <f t="shared" si="9"/>
        <v>81.92769477054425</v>
      </c>
      <c r="X32" s="145">
        <f t="shared" si="9"/>
        <v>77.031483457844146</v>
      </c>
      <c r="Y32" s="145">
        <f t="shared" si="9"/>
        <v>72.135272145144029</v>
      </c>
      <c r="Z32" s="145">
        <f t="shared" si="9"/>
        <v>67.239060832443926</v>
      </c>
      <c r="AA32" s="145">
        <f t="shared" si="9"/>
        <v>62.342849519743808</v>
      </c>
      <c r="AB32" s="145">
        <f t="shared" si="9"/>
        <v>57.446638207043698</v>
      </c>
      <c r="AC32" s="145">
        <f t="shared" si="9"/>
        <v>52.550426894343587</v>
      </c>
      <c r="AD32" s="145">
        <f t="shared" si="9"/>
        <v>47.654215581643477</v>
      </c>
      <c r="AE32" s="145">
        <f t="shared" si="9"/>
        <v>42.758004268943367</v>
      </c>
    </row>
    <row r="33" spans="10:31" x14ac:dyDescent="0.2">
      <c r="L33" s="143" t="s">
        <v>172</v>
      </c>
      <c r="M33" s="145">
        <f>+$Z$5+($Z$6*M$25)</f>
        <v>87.414621131270025</v>
      </c>
      <c r="N33" s="145">
        <f t="shared" ref="N33:AE33" si="10">+$Z$5+($Z$6*N$25)</f>
        <v>83.82070437566702</v>
      </c>
      <c r="O33" s="145">
        <f t="shared" si="10"/>
        <v>80.226787620064044</v>
      </c>
      <c r="P33" s="145">
        <f t="shared" si="10"/>
        <v>76.63287086446104</v>
      </c>
      <c r="Q33" s="145">
        <f t="shared" si="10"/>
        <v>73.038954108858064</v>
      </c>
      <c r="R33" s="145">
        <f t="shared" si="10"/>
        <v>69.44503735325506</v>
      </c>
      <c r="S33" s="145">
        <f t="shared" si="10"/>
        <v>65.851120597652056</v>
      </c>
      <c r="T33" s="145">
        <f t="shared" si="10"/>
        <v>62.257203842049073</v>
      </c>
      <c r="U33" s="145">
        <f t="shared" si="10"/>
        <v>58.663287086446083</v>
      </c>
      <c r="V33" s="145">
        <f t="shared" si="10"/>
        <v>55.069370330843093</v>
      </c>
      <c r="W33" s="145">
        <f t="shared" si="10"/>
        <v>51.475453575240103</v>
      </c>
      <c r="X33" s="145">
        <f t="shared" si="10"/>
        <v>47.881536819637113</v>
      </c>
      <c r="Y33" s="145">
        <f t="shared" si="10"/>
        <v>44.287620064034122</v>
      </c>
      <c r="Z33" s="145">
        <f t="shared" si="10"/>
        <v>40.693703308431132</v>
      </c>
      <c r="AA33" s="145">
        <f t="shared" si="10"/>
        <v>37.099786552828142</v>
      </c>
      <c r="AB33" s="145">
        <f t="shared" si="10"/>
        <v>33.505869797225145</v>
      </c>
      <c r="AC33" s="145">
        <f t="shared" si="10"/>
        <v>29.911953041622155</v>
      </c>
      <c r="AD33" s="145">
        <f t="shared" si="10"/>
        <v>26.318036286019165</v>
      </c>
      <c r="AE33" s="145">
        <f t="shared" si="10"/>
        <v>22.724119530416175</v>
      </c>
    </row>
    <row r="35" spans="10:31" x14ac:dyDescent="0.2">
      <c r="L35">
        <v>41</v>
      </c>
      <c r="M35">
        <f>INDEX(L37:M87,L35,2)</f>
        <v>7</v>
      </c>
      <c r="P35">
        <f>INDEX($O37:$Q87,$L35,2)</f>
        <v>23</v>
      </c>
      <c r="Q35">
        <f>INDEX($O37:$Q87,$L35,3)</f>
        <v>42</v>
      </c>
    </row>
    <row r="36" spans="10:31" ht="38.25" x14ac:dyDescent="0.2">
      <c r="K36" s="156" t="s">
        <v>271</v>
      </c>
      <c r="L36" s="156" t="s">
        <v>272</v>
      </c>
      <c r="M36" s="157" t="s">
        <v>222</v>
      </c>
      <c r="O36" s="156" t="s">
        <v>271</v>
      </c>
      <c r="P36" s="156" t="s">
        <v>304</v>
      </c>
      <c r="Q36" s="156" t="s">
        <v>305</v>
      </c>
    </row>
    <row r="37" spans="10:31" x14ac:dyDescent="0.2">
      <c r="J37">
        <v>1</v>
      </c>
      <c r="K37" s="1" t="s">
        <v>257</v>
      </c>
      <c r="L37" s="1">
        <v>77</v>
      </c>
      <c r="M37" s="1">
        <f>L37-78</f>
        <v>-1</v>
      </c>
      <c r="O37" s="1" t="s">
        <v>257</v>
      </c>
      <c r="P37" s="1">
        <v>28</v>
      </c>
      <c r="Q37" s="1">
        <f>65-P37</f>
        <v>37</v>
      </c>
    </row>
    <row r="38" spans="10:31" x14ac:dyDescent="0.2">
      <c r="J38">
        <v>2</v>
      </c>
      <c r="K38" s="1" t="s">
        <v>244</v>
      </c>
      <c r="L38" s="1">
        <v>89</v>
      </c>
      <c r="M38" s="1">
        <f t="shared" ref="M38:M87" si="11">L38-78</f>
        <v>11</v>
      </c>
      <c r="O38" s="1" t="s">
        <v>244</v>
      </c>
      <c r="P38" s="1">
        <v>22</v>
      </c>
      <c r="Q38" s="1">
        <f t="shared" ref="Q38:Q87" si="12">65-P38</f>
        <v>43</v>
      </c>
    </row>
    <row r="39" spans="10:31" x14ac:dyDescent="0.2">
      <c r="J39">
        <v>3</v>
      </c>
      <c r="K39" s="1" t="s">
        <v>245</v>
      </c>
      <c r="L39" s="1">
        <v>71</v>
      </c>
      <c r="M39" s="1">
        <f t="shared" si="11"/>
        <v>-7</v>
      </c>
      <c r="O39" s="1" t="s">
        <v>245</v>
      </c>
      <c r="P39" s="1">
        <v>29</v>
      </c>
      <c r="Q39" s="1">
        <f t="shared" si="12"/>
        <v>36</v>
      </c>
    </row>
    <row r="40" spans="10:31" x14ac:dyDescent="0.2">
      <c r="J40">
        <v>4</v>
      </c>
      <c r="K40" s="1" t="s">
        <v>246</v>
      </c>
      <c r="L40" s="1">
        <v>89</v>
      </c>
      <c r="M40" s="1">
        <f t="shared" si="11"/>
        <v>11</v>
      </c>
      <c r="O40" s="1" t="s">
        <v>246</v>
      </c>
      <c r="P40" s="1">
        <v>6</v>
      </c>
      <c r="Q40" s="1">
        <f t="shared" si="12"/>
        <v>59</v>
      </c>
    </row>
    <row r="41" spans="10:31" x14ac:dyDescent="0.2">
      <c r="J41">
        <v>5</v>
      </c>
      <c r="K41" s="1" t="s">
        <v>258</v>
      </c>
      <c r="L41" s="1">
        <v>77</v>
      </c>
      <c r="M41" s="1">
        <f t="shared" si="11"/>
        <v>-1</v>
      </c>
      <c r="O41" s="1" t="s">
        <v>258</v>
      </c>
      <c r="P41" s="1">
        <v>15</v>
      </c>
      <c r="Q41" s="1">
        <f t="shared" si="12"/>
        <v>50</v>
      </c>
    </row>
    <row r="42" spans="10:31" x14ac:dyDescent="0.2">
      <c r="J42">
        <v>6</v>
      </c>
      <c r="K42" s="1" t="s">
        <v>247</v>
      </c>
      <c r="L42" s="1">
        <v>87</v>
      </c>
      <c r="M42" s="1">
        <f t="shared" si="11"/>
        <v>9</v>
      </c>
      <c r="O42" s="1" t="s">
        <v>247</v>
      </c>
      <c r="P42" s="1">
        <v>4</v>
      </c>
      <c r="Q42" s="1">
        <f t="shared" si="12"/>
        <v>61</v>
      </c>
    </row>
    <row r="43" spans="10:31" x14ac:dyDescent="0.2">
      <c r="J43">
        <v>7</v>
      </c>
      <c r="K43" s="1" t="s">
        <v>225</v>
      </c>
      <c r="L43" s="1">
        <v>91</v>
      </c>
      <c r="M43" s="1">
        <f t="shared" si="11"/>
        <v>13</v>
      </c>
      <c r="O43" s="1" t="s">
        <v>225</v>
      </c>
      <c r="P43" s="1">
        <v>-10</v>
      </c>
      <c r="Q43" s="1">
        <f t="shared" si="12"/>
        <v>75</v>
      </c>
    </row>
    <row r="44" spans="10:31" x14ac:dyDescent="0.2">
      <c r="J44">
        <v>8</v>
      </c>
      <c r="K44" s="1" t="s">
        <v>82</v>
      </c>
      <c r="L44" s="1">
        <v>94</v>
      </c>
      <c r="M44" s="1">
        <f t="shared" si="11"/>
        <v>16</v>
      </c>
      <c r="O44" s="1" t="s">
        <v>82</v>
      </c>
      <c r="P44" s="1">
        <v>10</v>
      </c>
      <c r="Q44" s="1">
        <f t="shared" si="12"/>
        <v>55</v>
      </c>
    </row>
    <row r="45" spans="10:31" x14ac:dyDescent="0.2">
      <c r="J45">
        <v>9</v>
      </c>
      <c r="K45" s="1" t="s">
        <v>226</v>
      </c>
      <c r="L45" s="1">
        <v>87</v>
      </c>
      <c r="M45" s="1">
        <f t="shared" si="11"/>
        <v>9</v>
      </c>
      <c r="O45" s="1" t="s">
        <v>226</v>
      </c>
      <c r="P45" s="1">
        <v>-14</v>
      </c>
      <c r="Q45" s="1">
        <f t="shared" si="12"/>
        <v>79</v>
      </c>
    </row>
    <row r="46" spans="10:31" x14ac:dyDescent="0.2">
      <c r="J46">
        <v>10</v>
      </c>
      <c r="K46" s="1" t="s">
        <v>259</v>
      </c>
      <c r="L46" s="1">
        <v>78</v>
      </c>
      <c r="M46" s="1">
        <f t="shared" si="11"/>
        <v>0</v>
      </c>
      <c r="O46" s="1" t="s">
        <v>259</v>
      </c>
      <c r="P46" s="1">
        <v>25</v>
      </c>
      <c r="Q46" s="1">
        <f t="shared" si="12"/>
        <v>40</v>
      </c>
    </row>
    <row r="47" spans="10:31" x14ac:dyDescent="0.2">
      <c r="J47">
        <v>11</v>
      </c>
      <c r="K47" s="1" t="s">
        <v>237</v>
      </c>
      <c r="L47" s="1">
        <v>95</v>
      </c>
      <c r="M47" s="1">
        <f t="shared" si="11"/>
        <v>17</v>
      </c>
      <c r="O47" s="1" t="s">
        <v>237</v>
      </c>
      <c r="P47" s="1">
        <v>2</v>
      </c>
      <c r="Q47" s="1">
        <f t="shared" si="12"/>
        <v>63</v>
      </c>
    </row>
    <row r="48" spans="10:31" x14ac:dyDescent="0.2">
      <c r="J48">
        <v>12</v>
      </c>
      <c r="K48" s="1" t="s">
        <v>227</v>
      </c>
      <c r="L48" s="1">
        <v>83</v>
      </c>
      <c r="M48" s="1">
        <f t="shared" si="11"/>
        <v>5</v>
      </c>
      <c r="O48" s="1" t="s">
        <v>227</v>
      </c>
      <c r="P48" s="1">
        <v>-17</v>
      </c>
      <c r="Q48" s="1">
        <f t="shared" si="12"/>
        <v>82</v>
      </c>
    </row>
    <row r="49" spans="10:17" x14ac:dyDescent="0.2">
      <c r="J49">
        <v>13</v>
      </c>
      <c r="K49" s="1" t="s">
        <v>238</v>
      </c>
      <c r="L49" s="1">
        <v>86</v>
      </c>
      <c r="M49" s="1">
        <f t="shared" si="11"/>
        <v>8</v>
      </c>
      <c r="O49" s="1" t="s">
        <v>238</v>
      </c>
      <c r="P49" s="1">
        <v>-1</v>
      </c>
      <c r="Q49" s="1">
        <f t="shared" si="12"/>
        <v>66</v>
      </c>
    </row>
    <row r="50" spans="10:17" x14ac:dyDescent="0.2">
      <c r="J50">
        <v>14</v>
      </c>
      <c r="K50" s="1" t="s">
        <v>248</v>
      </c>
      <c r="L50" s="1">
        <v>89</v>
      </c>
      <c r="M50" s="1">
        <f t="shared" si="11"/>
        <v>11</v>
      </c>
      <c r="O50" s="1" t="s">
        <v>248</v>
      </c>
      <c r="P50" s="1">
        <v>22</v>
      </c>
      <c r="Q50" s="1">
        <f t="shared" si="12"/>
        <v>43</v>
      </c>
    </row>
    <row r="51" spans="10:17" x14ac:dyDescent="0.2">
      <c r="J51">
        <v>15</v>
      </c>
      <c r="K51" s="1" t="s">
        <v>228</v>
      </c>
      <c r="L51" s="1">
        <v>85</v>
      </c>
      <c r="M51" s="1">
        <f t="shared" si="11"/>
        <v>7</v>
      </c>
      <c r="O51" s="1" t="s">
        <v>228</v>
      </c>
      <c r="P51" s="1">
        <v>-20</v>
      </c>
      <c r="Q51" s="1">
        <f t="shared" si="12"/>
        <v>85</v>
      </c>
    </row>
    <row r="52" spans="10:17" x14ac:dyDescent="0.2">
      <c r="J52">
        <v>16</v>
      </c>
      <c r="K52" s="1" t="s">
        <v>260</v>
      </c>
      <c r="L52" s="1">
        <v>91</v>
      </c>
      <c r="M52" s="1">
        <f t="shared" si="11"/>
        <v>13</v>
      </c>
      <c r="O52" s="1" t="s">
        <v>260</v>
      </c>
      <c r="P52" s="1">
        <v>6</v>
      </c>
      <c r="Q52" s="1">
        <f t="shared" si="12"/>
        <v>59</v>
      </c>
    </row>
    <row r="53" spans="10:17" x14ac:dyDescent="0.2">
      <c r="J53">
        <v>17</v>
      </c>
      <c r="K53" s="1" t="s">
        <v>249</v>
      </c>
      <c r="L53" s="1">
        <v>89</v>
      </c>
      <c r="M53" s="1">
        <f t="shared" si="11"/>
        <v>11</v>
      </c>
      <c r="O53" s="1" t="s">
        <v>249</v>
      </c>
      <c r="P53" s="1">
        <v>22</v>
      </c>
      <c r="Q53" s="1">
        <f t="shared" si="12"/>
        <v>43</v>
      </c>
    </row>
    <row r="54" spans="10:17" x14ac:dyDescent="0.2">
      <c r="J54">
        <v>18</v>
      </c>
      <c r="K54" s="1" t="s">
        <v>261</v>
      </c>
      <c r="L54" s="1">
        <v>76</v>
      </c>
      <c r="M54" s="1">
        <f t="shared" si="11"/>
        <v>-2</v>
      </c>
      <c r="O54" s="1" t="s">
        <v>261</v>
      </c>
      <c r="P54" s="1">
        <v>25</v>
      </c>
      <c r="Q54" s="1">
        <f t="shared" si="12"/>
        <v>40</v>
      </c>
    </row>
    <row r="55" spans="10:17" x14ac:dyDescent="0.2">
      <c r="J55">
        <v>19</v>
      </c>
      <c r="K55" s="1" t="s">
        <v>229</v>
      </c>
      <c r="L55" s="1">
        <v>89</v>
      </c>
      <c r="M55" s="1">
        <f t="shared" si="11"/>
        <v>11</v>
      </c>
      <c r="O55" s="1" t="s">
        <v>229</v>
      </c>
      <c r="P55" s="1">
        <v>-18</v>
      </c>
      <c r="Q55" s="1">
        <f t="shared" si="12"/>
        <v>83</v>
      </c>
    </row>
    <row r="56" spans="10:17" x14ac:dyDescent="0.2">
      <c r="J56">
        <v>20</v>
      </c>
      <c r="K56" s="1" t="s">
        <v>230</v>
      </c>
      <c r="L56" s="1">
        <v>92</v>
      </c>
      <c r="M56" s="1">
        <f t="shared" si="11"/>
        <v>14</v>
      </c>
      <c r="O56" s="1" t="s">
        <v>230</v>
      </c>
      <c r="P56" s="1">
        <v>-13</v>
      </c>
      <c r="Q56" s="1">
        <f t="shared" si="12"/>
        <v>78</v>
      </c>
    </row>
    <row r="57" spans="10:17" x14ac:dyDescent="0.2">
      <c r="J57">
        <v>21</v>
      </c>
      <c r="K57" s="1" t="s">
        <v>250</v>
      </c>
      <c r="L57" s="1">
        <v>96</v>
      </c>
      <c r="M57" s="1">
        <f t="shared" si="11"/>
        <v>18</v>
      </c>
      <c r="O57" s="1" t="s">
        <v>250</v>
      </c>
      <c r="P57" s="1">
        <v>24</v>
      </c>
      <c r="Q57" s="1">
        <f t="shared" si="12"/>
        <v>41</v>
      </c>
    </row>
    <row r="58" spans="10:17" x14ac:dyDescent="0.2">
      <c r="J58">
        <v>22</v>
      </c>
      <c r="K58" s="1" t="s">
        <v>231</v>
      </c>
      <c r="L58" s="1">
        <v>88</v>
      </c>
      <c r="M58" s="1">
        <f t="shared" si="11"/>
        <v>10</v>
      </c>
      <c r="O58" s="1" t="s">
        <v>231</v>
      </c>
      <c r="P58" s="1">
        <v>-15</v>
      </c>
      <c r="Q58" s="1">
        <f t="shared" si="12"/>
        <v>80</v>
      </c>
    </row>
    <row r="59" spans="10:17" x14ac:dyDescent="0.2">
      <c r="J59">
        <v>23</v>
      </c>
      <c r="K59" s="1" t="s">
        <v>232</v>
      </c>
      <c r="L59" s="1">
        <v>90</v>
      </c>
      <c r="M59" s="1">
        <f t="shared" si="11"/>
        <v>12</v>
      </c>
      <c r="O59" s="1" t="s">
        <v>232</v>
      </c>
      <c r="P59" s="1">
        <v>-11</v>
      </c>
      <c r="Q59" s="1">
        <f t="shared" si="12"/>
        <v>76</v>
      </c>
    </row>
    <row r="60" spans="10:17" x14ac:dyDescent="0.2">
      <c r="J60">
        <v>24</v>
      </c>
      <c r="K60" s="1" t="s">
        <v>233</v>
      </c>
      <c r="L60" s="1">
        <v>88</v>
      </c>
      <c r="M60" s="1">
        <f t="shared" si="11"/>
        <v>10</v>
      </c>
      <c r="O60" s="1" t="s">
        <v>233</v>
      </c>
      <c r="P60" s="1">
        <v>-16</v>
      </c>
      <c r="Q60" s="1">
        <f t="shared" si="12"/>
        <v>81</v>
      </c>
    </row>
    <row r="61" spans="10:17" x14ac:dyDescent="0.2">
      <c r="J61">
        <v>25</v>
      </c>
      <c r="K61" s="1" t="s">
        <v>243</v>
      </c>
      <c r="L61" s="1">
        <v>87</v>
      </c>
      <c r="M61" s="1">
        <f t="shared" si="11"/>
        <v>9</v>
      </c>
      <c r="O61" s="1" t="s">
        <v>243</v>
      </c>
      <c r="P61" s="1">
        <v>-6</v>
      </c>
      <c r="Q61" s="1">
        <f t="shared" si="12"/>
        <v>71</v>
      </c>
    </row>
    <row r="62" spans="10:17" x14ac:dyDescent="0.2">
      <c r="J62">
        <v>26</v>
      </c>
      <c r="K62" s="1" t="s">
        <v>234</v>
      </c>
      <c r="L62" s="1">
        <v>87</v>
      </c>
      <c r="M62" s="1">
        <f t="shared" si="11"/>
        <v>9</v>
      </c>
      <c r="O62" s="1" t="s">
        <v>234</v>
      </c>
      <c r="P62" s="1">
        <v>-7</v>
      </c>
      <c r="Q62" s="1">
        <f t="shared" si="12"/>
        <v>72</v>
      </c>
    </row>
    <row r="63" spans="10:17" x14ac:dyDescent="0.2">
      <c r="J63">
        <v>27</v>
      </c>
      <c r="K63" s="1" t="s">
        <v>262</v>
      </c>
      <c r="L63" s="1">
        <v>96</v>
      </c>
      <c r="M63" s="1">
        <f t="shared" si="11"/>
        <v>18</v>
      </c>
      <c r="O63" s="1" t="s">
        <v>262</v>
      </c>
      <c r="P63" s="1">
        <v>11</v>
      </c>
      <c r="Q63" s="1">
        <f t="shared" si="12"/>
        <v>54</v>
      </c>
    </row>
    <row r="64" spans="10:17" x14ac:dyDescent="0.2">
      <c r="J64">
        <v>28</v>
      </c>
      <c r="K64" s="1" t="s">
        <v>251</v>
      </c>
      <c r="L64" s="1">
        <v>87</v>
      </c>
      <c r="M64" s="1">
        <f t="shared" si="11"/>
        <v>9</v>
      </c>
      <c r="O64" s="1" t="s">
        <v>251</v>
      </c>
      <c r="P64" s="1">
        <v>9</v>
      </c>
      <c r="Q64" s="1">
        <f t="shared" si="12"/>
        <v>56</v>
      </c>
    </row>
    <row r="65" spans="10:17" x14ac:dyDescent="0.2">
      <c r="J65">
        <v>29</v>
      </c>
      <c r="K65" s="1" t="s">
        <v>273</v>
      </c>
      <c r="L65" s="1">
        <v>87</v>
      </c>
      <c r="M65" s="1">
        <f t="shared" si="11"/>
        <v>9</v>
      </c>
      <c r="O65" s="1" t="s">
        <v>235</v>
      </c>
      <c r="P65" s="1">
        <v>-16</v>
      </c>
      <c r="Q65" s="1">
        <f t="shared" si="12"/>
        <v>81</v>
      </c>
    </row>
    <row r="66" spans="10:17" x14ac:dyDescent="0.2">
      <c r="J66">
        <v>30</v>
      </c>
      <c r="K66" s="1" t="s">
        <v>274</v>
      </c>
      <c r="L66" s="1">
        <v>93</v>
      </c>
      <c r="M66" s="1">
        <f t="shared" si="11"/>
        <v>15</v>
      </c>
      <c r="O66" s="1" t="s">
        <v>235</v>
      </c>
      <c r="P66" s="1">
        <v>6</v>
      </c>
      <c r="Q66" s="1">
        <f t="shared" si="12"/>
        <v>59</v>
      </c>
    </row>
    <row r="67" spans="10:17" x14ac:dyDescent="0.2">
      <c r="J67">
        <v>31</v>
      </c>
      <c r="K67" s="1" t="s">
        <v>236</v>
      </c>
      <c r="L67" s="1">
        <v>87</v>
      </c>
      <c r="M67" s="1">
        <f t="shared" si="11"/>
        <v>9</v>
      </c>
      <c r="O67" s="1" t="s">
        <v>236</v>
      </c>
      <c r="P67" s="1">
        <v>-14</v>
      </c>
      <c r="Q67" s="1">
        <f t="shared" si="12"/>
        <v>79</v>
      </c>
    </row>
    <row r="68" spans="10:17" x14ac:dyDescent="0.2">
      <c r="J68">
        <v>32</v>
      </c>
      <c r="K68" s="1" t="s">
        <v>263</v>
      </c>
      <c r="L68" s="1">
        <v>85</v>
      </c>
      <c r="M68" s="1">
        <f t="shared" si="11"/>
        <v>7</v>
      </c>
      <c r="O68" s="1" t="s">
        <v>263</v>
      </c>
      <c r="P68" s="1">
        <v>24</v>
      </c>
      <c r="Q68" s="1">
        <f t="shared" si="12"/>
        <v>41</v>
      </c>
    </row>
    <row r="69" spans="10:17" x14ac:dyDescent="0.2">
      <c r="J69">
        <v>33</v>
      </c>
      <c r="K69" s="1" t="s">
        <v>252</v>
      </c>
      <c r="L69" s="1">
        <v>94</v>
      </c>
      <c r="M69" s="1">
        <f t="shared" si="11"/>
        <v>16</v>
      </c>
      <c r="O69" s="1" t="s">
        <v>252</v>
      </c>
      <c r="P69" s="1">
        <v>23</v>
      </c>
      <c r="Q69" s="1">
        <f t="shared" si="12"/>
        <v>42</v>
      </c>
    </row>
    <row r="70" spans="10:17" x14ac:dyDescent="0.2">
      <c r="J70">
        <v>34</v>
      </c>
      <c r="K70" s="1" t="s">
        <v>239</v>
      </c>
      <c r="L70" s="1">
        <v>87</v>
      </c>
      <c r="M70" s="1">
        <f t="shared" si="11"/>
        <v>9</v>
      </c>
      <c r="O70" s="1" t="s">
        <v>239</v>
      </c>
      <c r="P70" s="1">
        <v>0</v>
      </c>
      <c r="Q70" s="1">
        <f t="shared" si="12"/>
        <v>65</v>
      </c>
    </row>
    <row r="71" spans="10:17" x14ac:dyDescent="0.2">
      <c r="J71">
        <v>35</v>
      </c>
      <c r="K71" s="1" t="s">
        <v>264</v>
      </c>
      <c r="L71" s="1">
        <v>94</v>
      </c>
      <c r="M71" s="1">
        <f t="shared" si="11"/>
        <v>16</v>
      </c>
      <c r="O71" s="1" t="s">
        <v>264</v>
      </c>
      <c r="P71" s="1">
        <v>7</v>
      </c>
      <c r="Q71" s="1">
        <f t="shared" si="12"/>
        <v>58</v>
      </c>
    </row>
    <row r="72" spans="10:17" x14ac:dyDescent="0.2">
      <c r="J72">
        <v>36</v>
      </c>
      <c r="K72" s="1" t="s">
        <v>240</v>
      </c>
      <c r="L72" s="1">
        <v>97</v>
      </c>
      <c r="M72" s="1">
        <f t="shared" si="11"/>
        <v>19</v>
      </c>
      <c r="O72" s="1" t="s">
        <v>240</v>
      </c>
      <c r="P72" s="1">
        <v>12</v>
      </c>
      <c r="Q72" s="1">
        <f t="shared" si="12"/>
        <v>53</v>
      </c>
    </row>
    <row r="73" spans="10:17" x14ac:dyDescent="0.2">
      <c r="J73">
        <v>37</v>
      </c>
      <c r="K73" s="1" t="s">
        <v>265</v>
      </c>
      <c r="L73" s="1">
        <v>83</v>
      </c>
      <c r="M73" s="1">
        <f t="shared" si="11"/>
        <v>5</v>
      </c>
      <c r="O73" s="1" t="s">
        <v>265</v>
      </c>
      <c r="P73" s="1">
        <v>22</v>
      </c>
      <c r="Q73" s="1">
        <f t="shared" si="12"/>
        <v>43</v>
      </c>
    </row>
    <row r="74" spans="10:17" x14ac:dyDescent="0.2">
      <c r="J74">
        <v>38</v>
      </c>
      <c r="K74" s="1" t="s">
        <v>253</v>
      </c>
      <c r="L74" s="1">
        <v>93</v>
      </c>
      <c r="M74" s="1">
        <f t="shared" si="11"/>
        <v>15</v>
      </c>
      <c r="O74" s="1" t="s">
        <v>253</v>
      </c>
      <c r="P74" s="1">
        <v>5</v>
      </c>
      <c r="Q74" s="1">
        <f t="shared" si="12"/>
        <v>60</v>
      </c>
    </row>
    <row r="75" spans="10:17" x14ac:dyDescent="0.2">
      <c r="J75">
        <v>39</v>
      </c>
      <c r="K75" s="1" t="s">
        <v>241</v>
      </c>
      <c r="L75" s="1">
        <v>91</v>
      </c>
      <c r="M75" s="1">
        <f t="shared" si="11"/>
        <v>13</v>
      </c>
      <c r="O75" s="1" t="s">
        <v>241</v>
      </c>
      <c r="P75" s="1">
        <v>-1</v>
      </c>
      <c r="Q75" s="1">
        <f t="shared" si="12"/>
        <v>66</v>
      </c>
    </row>
    <row r="76" spans="10:17" x14ac:dyDescent="0.2">
      <c r="J76">
        <v>40</v>
      </c>
      <c r="K76" s="1" t="s">
        <v>266</v>
      </c>
      <c r="L76" s="1">
        <v>69</v>
      </c>
      <c r="M76" s="1">
        <f t="shared" si="11"/>
        <v>-9</v>
      </c>
      <c r="O76" s="1" t="s">
        <v>266</v>
      </c>
      <c r="P76" s="1">
        <v>27</v>
      </c>
      <c r="Q76" s="1">
        <f t="shared" si="12"/>
        <v>38</v>
      </c>
    </row>
    <row r="77" spans="10:17" x14ac:dyDescent="0.2">
      <c r="J77">
        <v>41</v>
      </c>
      <c r="K77" s="1" t="s">
        <v>80</v>
      </c>
      <c r="L77" s="1">
        <v>85</v>
      </c>
      <c r="M77" s="1">
        <f t="shared" si="11"/>
        <v>7</v>
      </c>
      <c r="O77" s="1" t="s">
        <v>80</v>
      </c>
      <c r="P77" s="1">
        <v>23</v>
      </c>
      <c r="Q77" s="1">
        <f t="shared" si="12"/>
        <v>42</v>
      </c>
    </row>
    <row r="78" spans="10:17" x14ac:dyDescent="0.2">
      <c r="J78">
        <v>42</v>
      </c>
      <c r="K78" s="1" t="s">
        <v>254</v>
      </c>
      <c r="L78" s="1">
        <v>90</v>
      </c>
      <c r="M78" s="1">
        <f t="shared" si="11"/>
        <v>12</v>
      </c>
      <c r="O78" s="1" t="s">
        <v>254</v>
      </c>
      <c r="P78" s="1">
        <v>23</v>
      </c>
      <c r="Q78" s="1">
        <f t="shared" si="12"/>
        <v>42</v>
      </c>
    </row>
    <row r="79" spans="10:17" x14ac:dyDescent="0.2">
      <c r="J79">
        <v>43</v>
      </c>
      <c r="K79" s="1" t="s">
        <v>255</v>
      </c>
      <c r="L79" s="1">
        <v>88</v>
      </c>
      <c r="M79" s="1">
        <f t="shared" si="11"/>
        <v>10</v>
      </c>
      <c r="O79" s="1" t="s">
        <v>255</v>
      </c>
      <c r="P79" s="1">
        <v>23</v>
      </c>
      <c r="Q79" s="1">
        <f t="shared" si="12"/>
        <v>42</v>
      </c>
    </row>
    <row r="80" spans="10:17" x14ac:dyDescent="0.2">
      <c r="J80">
        <v>44</v>
      </c>
      <c r="K80" s="1" t="s">
        <v>81</v>
      </c>
      <c r="L80" s="1">
        <v>82</v>
      </c>
      <c r="M80" s="1">
        <f t="shared" si="11"/>
        <v>4</v>
      </c>
      <c r="O80" s="1" t="s">
        <v>81</v>
      </c>
      <c r="P80" s="1">
        <v>26</v>
      </c>
      <c r="Q80" s="1">
        <f t="shared" si="12"/>
        <v>39</v>
      </c>
    </row>
    <row r="81" spans="10:17" x14ac:dyDescent="0.2">
      <c r="J81">
        <v>45</v>
      </c>
      <c r="K81" s="1" t="s">
        <v>83</v>
      </c>
      <c r="L81" s="1">
        <v>90</v>
      </c>
      <c r="M81" s="1">
        <f t="shared" si="11"/>
        <v>12</v>
      </c>
      <c r="O81" s="1" t="s">
        <v>83</v>
      </c>
      <c r="P81" s="1">
        <v>2</v>
      </c>
      <c r="Q81" s="1">
        <f t="shared" si="12"/>
        <v>63</v>
      </c>
    </row>
    <row r="82" spans="10:17" x14ac:dyDescent="0.2">
      <c r="J82">
        <v>46</v>
      </c>
      <c r="K82" s="1" t="s">
        <v>267</v>
      </c>
      <c r="L82" s="1">
        <v>82</v>
      </c>
      <c r="M82" s="1">
        <f t="shared" si="11"/>
        <v>4</v>
      </c>
      <c r="O82" s="1" t="s">
        <v>267</v>
      </c>
      <c r="P82" s="1">
        <v>24</v>
      </c>
      <c r="Q82" s="1">
        <f t="shared" si="12"/>
        <v>41</v>
      </c>
    </row>
    <row r="83" spans="10:17" x14ac:dyDescent="0.2">
      <c r="J83">
        <v>47</v>
      </c>
      <c r="K83" s="1" t="s">
        <v>256</v>
      </c>
      <c r="L83" s="1">
        <v>89</v>
      </c>
      <c r="M83" s="1">
        <f t="shared" si="11"/>
        <v>11</v>
      </c>
      <c r="O83" s="1" t="s">
        <v>256</v>
      </c>
      <c r="P83" s="1">
        <v>19</v>
      </c>
      <c r="Q83" s="1">
        <f t="shared" si="12"/>
        <v>46</v>
      </c>
    </row>
    <row r="84" spans="10:17" x14ac:dyDescent="0.2">
      <c r="J84">
        <v>48</v>
      </c>
      <c r="K84" s="1" t="s">
        <v>242</v>
      </c>
      <c r="L84" s="1">
        <v>95</v>
      </c>
      <c r="M84" s="1">
        <f t="shared" si="11"/>
        <v>17</v>
      </c>
      <c r="O84" s="1" t="s">
        <v>242</v>
      </c>
      <c r="P84" s="1">
        <v>2</v>
      </c>
      <c r="Q84" s="1">
        <f t="shared" si="12"/>
        <v>63</v>
      </c>
    </row>
    <row r="85" spans="10:17" x14ac:dyDescent="0.2">
      <c r="J85">
        <v>49</v>
      </c>
      <c r="K85" s="1" t="s">
        <v>268</v>
      </c>
      <c r="L85" s="1">
        <v>94</v>
      </c>
      <c r="M85" s="1">
        <f t="shared" si="11"/>
        <v>16</v>
      </c>
      <c r="O85" s="1" t="s">
        <v>268</v>
      </c>
      <c r="P85" s="1">
        <v>7</v>
      </c>
      <c r="Q85" s="1">
        <f t="shared" si="12"/>
        <v>58</v>
      </c>
    </row>
    <row r="86" spans="10:17" x14ac:dyDescent="0.2">
      <c r="J86">
        <v>50</v>
      </c>
      <c r="K86" s="1" t="s">
        <v>270</v>
      </c>
      <c r="L86" s="1">
        <v>96</v>
      </c>
      <c r="M86" s="1">
        <f t="shared" si="11"/>
        <v>18</v>
      </c>
      <c r="O86" s="1" t="s">
        <v>270</v>
      </c>
      <c r="P86" s="1">
        <v>11</v>
      </c>
      <c r="Q86" s="1">
        <f t="shared" si="12"/>
        <v>54</v>
      </c>
    </row>
    <row r="87" spans="10:17" x14ac:dyDescent="0.2">
      <c r="J87">
        <v>51</v>
      </c>
      <c r="K87" s="1" t="s">
        <v>269</v>
      </c>
      <c r="L87" s="1">
        <v>93</v>
      </c>
      <c r="M87" s="1">
        <f t="shared" si="11"/>
        <v>15</v>
      </c>
      <c r="O87" s="1" t="s">
        <v>269</v>
      </c>
      <c r="P87" s="1">
        <v>5</v>
      </c>
      <c r="Q87" s="1">
        <f t="shared" si="12"/>
        <v>60</v>
      </c>
    </row>
  </sheetData>
  <mergeCells count="6">
    <mergeCell ref="A22:E22"/>
    <mergeCell ref="A24:E24"/>
    <mergeCell ref="A14:E14"/>
    <mergeCell ref="A16:E16"/>
    <mergeCell ref="A18:E18"/>
    <mergeCell ref="A20:E20"/>
  </mergeCells>
  <phoneticPr fontId="13" type="noConversion"/>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B1:Q116"/>
  <sheetViews>
    <sheetView workbookViewId="0">
      <selection activeCell="F44" sqref="F44"/>
    </sheetView>
  </sheetViews>
  <sheetFormatPr defaultRowHeight="12.75" x14ac:dyDescent="0.2"/>
  <cols>
    <col min="3" max="3" width="43.7109375" customWidth="1"/>
    <col min="5" max="5" width="11.140625" customWidth="1"/>
    <col min="7" max="7" width="10" customWidth="1"/>
    <col min="9" max="9" width="24.42578125" customWidth="1"/>
    <col min="10" max="10" width="10.28515625" bestFit="1" customWidth="1"/>
    <col min="11" max="11" width="12.140625" customWidth="1"/>
    <col min="12" max="12" width="12.5703125" customWidth="1"/>
    <col min="13" max="13" width="12" customWidth="1"/>
    <col min="14" max="14" width="13" customWidth="1"/>
  </cols>
  <sheetData>
    <row r="1" spans="2:17" ht="13.5" thickBot="1" x14ac:dyDescent="0.25">
      <c r="C1">
        <f>IF(B2&gt;5,"Use Manual J",B2)</f>
        <v>1.5</v>
      </c>
    </row>
    <row r="2" spans="2:17" ht="13.5" thickBot="1" x14ac:dyDescent="0.25">
      <c r="B2" s="53">
        <f>VLOOKUP(UAChosen,SizingTable,BPChosen+1)</f>
        <v>1.5</v>
      </c>
      <c r="C2">
        <v>1</v>
      </c>
      <c r="G2" t="s">
        <v>1</v>
      </c>
    </row>
    <row r="3" spans="2:17" x14ac:dyDescent="0.2">
      <c r="C3" t="s">
        <v>3</v>
      </c>
      <c r="D3">
        <v>1</v>
      </c>
      <c r="E3">
        <v>2</v>
      </c>
      <c r="F3">
        <v>3</v>
      </c>
      <c r="G3">
        <v>4</v>
      </c>
      <c r="H3">
        <v>5</v>
      </c>
      <c r="I3">
        <v>6</v>
      </c>
      <c r="J3">
        <v>7</v>
      </c>
      <c r="K3">
        <v>8</v>
      </c>
      <c r="L3">
        <v>9</v>
      </c>
      <c r="M3">
        <v>10</v>
      </c>
      <c r="N3">
        <v>11</v>
      </c>
    </row>
    <row r="4" spans="2:17" x14ac:dyDescent="0.2">
      <c r="B4" t="s">
        <v>2</v>
      </c>
      <c r="C4" s="1" t="s">
        <v>0</v>
      </c>
      <c r="D4" s="1">
        <v>35</v>
      </c>
      <c r="E4" s="1">
        <v>34</v>
      </c>
      <c r="F4" s="1">
        <v>33</v>
      </c>
      <c r="G4" s="1">
        <v>32</v>
      </c>
      <c r="H4" s="1">
        <v>31</v>
      </c>
      <c r="I4" s="1">
        <v>30</v>
      </c>
      <c r="J4" s="1">
        <v>29</v>
      </c>
      <c r="K4" s="1">
        <v>28</v>
      </c>
      <c r="L4" s="1">
        <v>27</v>
      </c>
      <c r="M4" s="1">
        <v>26</v>
      </c>
      <c r="N4" s="1">
        <v>25</v>
      </c>
      <c r="Q4">
        <v>35</v>
      </c>
    </row>
    <row r="5" spans="2:17" x14ac:dyDescent="0.2">
      <c r="B5">
        <v>1</v>
      </c>
      <c r="C5" s="1">
        <v>300</v>
      </c>
      <c r="D5" s="2">
        <v>1.5</v>
      </c>
      <c r="E5" s="2">
        <v>1.5</v>
      </c>
      <c r="F5" s="2">
        <v>1.5</v>
      </c>
      <c r="G5" s="2">
        <v>1.5</v>
      </c>
      <c r="H5" s="2">
        <v>1.5</v>
      </c>
      <c r="I5" s="3">
        <v>2</v>
      </c>
      <c r="J5" s="3">
        <v>2</v>
      </c>
      <c r="K5" s="3">
        <v>2</v>
      </c>
      <c r="L5" s="3">
        <v>2</v>
      </c>
      <c r="M5" s="3">
        <v>2</v>
      </c>
      <c r="N5" s="3">
        <v>2</v>
      </c>
      <c r="Q5">
        <v>34</v>
      </c>
    </row>
    <row r="6" spans="2:17" x14ac:dyDescent="0.2">
      <c r="B6">
        <v>2</v>
      </c>
      <c r="C6" s="1">
        <v>325</v>
      </c>
      <c r="D6" s="4">
        <v>1.5</v>
      </c>
      <c r="E6" s="4">
        <v>1.5</v>
      </c>
      <c r="F6" s="4">
        <v>1.5</v>
      </c>
      <c r="G6" s="4">
        <v>1.5</v>
      </c>
      <c r="H6" s="3">
        <v>2</v>
      </c>
      <c r="I6" s="3">
        <v>2</v>
      </c>
      <c r="J6" s="3">
        <v>2</v>
      </c>
      <c r="K6" s="3">
        <v>2</v>
      </c>
      <c r="L6" s="3">
        <v>2</v>
      </c>
      <c r="M6" s="3">
        <v>2</v>
      </c>
      <c r="N6" s="5">
        <v>2.5</v>
      </c>
      <c r="Q6">
        <v>33</v>
      </c>
    </row>
    <row r="7" spans="2:17" x14ac:dyDescent="0.2">
      <c r="B7">
        <v>3</v>
      </c>
      <c r="C7" s="1">
        <v>350</v>
      </c>
      <c r="D7" s="4">
        <v>1.5</v>
      </c>
      <c r="E7" s="4">
        <v>1.5</v>
      </c>
      <c r="F7" s="3">
        <v>2</v>
      </c>
      <c r="G7" s="3">
        <v>2</v>
      </c>
      <c r="H7" s="3">
        <v>2</v>
      </c>
      <c r="I7" s="3">
        <v>2</v>
      </c>
      <c r="J7" s="3">
        <v>2</v>
      </c>
      <c r="K7" s="3">
        <v>2</v>
      </c>
      <c r="L7" s="5">
        <v>2.5</v>
      </c>
      <c r="M7" s="5">
        <v>2.5</v>
      </c>
      <c r="N7" s="5">
        <v>2.5</v>
      </c>
      <c r="Q7">
        <v>32</v>
      </c>
    </row>
    <row r="8" spans="2:17" x14ac:dyDescent="0.2">
      <c r="B8">
        <v>4</v>
      </c>
      <c r="C8" s="1">
        <v>375</v>
      </c>
      <c r="D8" s="4">
        <v>1.5</v>
      </c>
      <c r="E8" s="3">
        <v>2</v>
      </c>
      <c r="F8" s="3">
        <v>2</v>
      </c>
      <c r="G8" s="3">
        <v>2</v>
      </c>
      <c r="H8" s="3">
        <v>2</v>
      </c>
      <c r="I8" s="3">
        <v>2</v>
      </c>
      <c r="J8" s="3">
        <v>2</v>
      </c>
      <c r="K8" s="5">
        <v>2.5</v>
      </c>
      <c r="L8" s="5">
        <v>2.5</v>
      </c>
      <c r="M8" s="5">
        <v>2.5</v>
      </c>
      <c r="N8" s="5">
        <v>2.5</v>
      </c>
      <c r="Q8">
        <v>31</v>
      </c>
    </row>
    <row r="9" spans="2:17" x14ac:dyDescent="0.2">
      <c r="B9">
        <v>5</v>
      </c>
      <c r="C9" s="1">
        <v>400</v>
      </c>
      <c r="D9" s="3">
        <v>2</v>
      </c>
      <c r="E9" s="3">
        <v>2</v>
      </c>
      <c r="F9" s="3">
        <v>2</v>
      </c>
      <c r="G9" s="3">
        <v>2</v>
      </c>
      <c r="H9" s="3">
        <v>2</v>
      </c>
      <c r="I9" s="3">
        <v>2</v>
      </c>
      <c r="J9" s="5">
        <v>2.5</v>
      </c>
      <c r="K9" s="5">
        <v>2.5</v>
      </c>
      <c r="L9" s="5">
        <v>2.5</v>
      </c>
      <c r="M9" s="5">
        <v>2.5</v>
      </c>
      <c r="N9" s="6">
        <v>3</v>
      </c>
      <c r="Q9">
        <v>30</v>
      </c>
    </row>
    <row r="10" spans="2:17" x14ac:dyDescent="0.2">
      <c r="B10">
        <v>6</v>
      </c>
      <c r="C10" s="1">
        <v>425</v>
      </c>
      <c r="D10" s="3">
        <v>2</v>
      </c>
      <c r="E10" s="3">
        <v>2</v>
      </c>
      <c r="F10" s="3">
        <v>2</v>
      </c>
      <c r="G10" s="3">
        <v>2</v>
      </c>
      <c r="H10" s="5">
        <v>2.5</v>
      </c>
      <c r="I10" s="5">
        <v>2.5</v>
      </c>
      <c r="J10" s="5">
        <v>2.5</v>
      </c>
      <c r="K10" s="5">
        <v>2.5</v>
      </c>
      <c r="L10" s="5">
        <v>2.5</v>
      </c>
      <c r="M10" s="6">
        <v>3</v>
      </c>
      <c r="N10" s="6">
        <v>3</v>
      </c>
      <c r="Q10">
        <v>29</v>
      </c>
    </row>
    <row r="11" spans="2:17" x14ac:dyDescent="0.2">
      <c r="B11">
        <v>7</v>
      </c>
      <c r="C11" s="1">
        <v>450</v>
      </c>
      <c r="D11" s="3">
        <v>2</v>
      </c>
      <c r="E11" s="3">
        <v>2</v>
      </c>
      <c r="F11" s="3">
        <v>2</v>
      </c>
      <c r="G11" s="5">
        <v>2.5</v>
      </c>
      <c r="H11" s="5">
        <v>2.5</v>
      </c>
      <c r="I11" s="5">
        <v>2.5</v>
      </c>
      <c r="J11" s="5">
        <v>2.5</v>
      </c>
      <c r="K11" s="5">
        <v>2.5</v>
      </c>
      <c r="L11" s="6">
        <v>3</v>
      </c>
      <c r="M11" s="6">
        <v>3</v>
      </c>
      <c r="N11" s="6">
        <v>3</v>
      </c>
      <c r="Q11">
        <v>28</v>
      </c>
    </row>
    <row r="12" spans="2:17" x14ac:dyDescent="0.2">
      <c r="B12">
        <v>8</v>
      </c>
      <c r="C12" s="1">
        <v>475</v>
      </c>
      <c r="D12" s="3">
        <v>2</v>
      </c>
      <c r="E12" s="3">
        <v>2</v>
      </c>
      <c r="F12" s="5">
        <v>2.5</v>
      </c>
      <c r="G12" s="5">
        <v>2.5</v>
      </c>
      <c r="H12" s="5">
        <v>2.5</v>
      </c>
      <c r="I12" s="5">
        <v>2.5</v>
      </c>
      <c r="J12" s="5">
        <v>2.5</v>
      </c>
      <c r="K12" s="6">
        <v>3</v>
      </c>
      <c r="L12" s="6">
        <v>3</v>
      </c>
      <c r="M12" s="6">
        <v>3</v>
      </c>
      <c r="N12" s="6">
        <v>3</v>
      </c>
      <c r="Q12">
        <v>27</v>
      </c>
    </row>
    <row r="13" spans="2:17" x14ac:dyDescent="0.2">
      <c r="B13">
        <v>9</v>
      </c>
      <c r="C13" s="1">
        <v>500</v>
      </c>
      <c r="D13" s="3">
        <v>2</v>
      </c>
      <c r="E13" s="5">
        <v>2.5</v>
      </c>
      <c r="F13" s="5">
        <v>2.5</v>
      </c>
      <c r="G13" s="5">
        <v>2.5</v>
      </c>
      <c r="H13" s="5">
        <v>2.5</v>
      </c>
      <c r="I13" s="5">
        <v>2.5</v>
      </c>
      <c r="J13" s="6">
        <v>3</v>
      </c>
      <c r="K13" s="6">
        <v>3</v>
      </c>
      <c r="L13" s="6">
        <v>3</v>
      </c>
      <c r="M13" s="6">
        <v>3</v>
      </c>
      <c r="N13" s="7">
        <v>3.5</v>
      </c>
      <c r="Q13">
        <v>26</v>
      </c>
    </row>
    <row r="14" spans="2:17" x14ac:dyDescent="0.2">
      <c r="B14">
        <v>10</v>
      </c>
      <c r="C14" s="1">
        <v>525</v>
      </c>
      <c r="D14" s="5">
        <v>2.5</v>
      </c>
      <c r="E14" s="5">
        <v>2.5</v>
      </c>
      <c r="F14" s="5">
        <v>2.5</v>
      </c>
      <c r="G14" s="5">
        <v>2.5</v>
      </c>
      <c r="H14" s="5">
        <v>2.5</v>
      </c>
      <c r="I14" s="6">
        <v>3</v>
      </c>
      <c r="J14" s="6">
        <v>3</v>
      </c>
      <c r="K14" s="6">
        <v>3</v>
      </c>
      <c r="L14" s="6">
        <v>3</v>
      </c>
      <c r="M14" s="7">
        <v>3.5</v>
      </c>
      <c r="N14" s="7">
        <v>3.5</v>
      </c>
      <c r="Q14">
        <v>25</v>
      </c>
    </row>
    <row r="15" spans="2:17" x14ac:dyDescent="0.2">
      <c r="B15">
        <v>11</v>
      </c>
      <c r="C15" s="1">
        <v>550</v>
      </c>
      <c r="D15" s="5">
        <v>2.5</v>
      </c>
      <c r="E15" s="5">
        <v>2.5</v>
      </c>
      <c r="F15" s="5">
        <v>2.5</v>
      </c>
      <c r="G15" s="5">
        <v>2.5</v>
      </c>
      <c r="H15" s="6">
        <v>3</v>
      </c>
      <c r="I15" s="6">
        <v>3</v>
      </c>
      <c r="J15" s="6">
        <v>3</v>
      </c>
      <c r="K15" s="6">
        <v>3</v>
      </c>
      <c r="L15" s="7">
        <v>3.5</v>
      </c>
      <c r="M15" s="7">
        <v>3.5</v>
      </c>
      <c r="N15" s="7">
        <v>3.5</v>
      </c>
    </row>
    <row r="16" spans="2:17" x14ac:dyDescent="0.2">
      <c r="B16">
        <v>12</v>
      </c>
      <c r="C16" s="1">
        <v>575</v>
      </c>
      <c r="D16" s="5">
        <v>2.5</v>
      </c>
      <c r="E16" s="5">
        <v>2.5</v>
      </c>
      <c r="F16" s="5">
        <v>2.5</v>
      </c>
      <c r="G16" s="6">
        <v>3</v>
      </c>
      <c r="H16" s="6">
        <v>3</v>
      </c>
      <c r="I16" s="6">
        <v>3</v>
      </c>
      <c r="J16" s="6">
        <v>3</v>
      </c>
      <c r="K16" s="7">
        <v>3.5</v>
      </c>
      <c r="L16" s="7">
        <v>3.5</v>
      </c>
      <c r="M16" s="7">
        <v>3.5</v>
      </c>
      <c r="N16" s="8">
        <v>4</v>
      </c>
    </row>
    <row r="17" spans="2:14" x14ac:dyDescent="0.2">
      <c r="B17">
        <v>13</v>
      </c>
      <c r="C17" s="1">
        <v>600</v>
      </c>
      <c r="D17" s="5">
        <v>2.5</v>
      </c>
      <c r="E17" s="5">
        <v>2.5</v>
      </c>
      <c r="F17" s="6">
        <v>3</v>
      </c>
      <c r="G17" s="6">
        <v>3</v>
      </c>
      <c r="H17" s="6">
        <v>3</v>
      </c>
      <c r="I17" s="6">
        <v>3</v>
      </c>
      <c r="J17" s="7">
        <v>3.5</v>
      </c>
      <c r="K17" s="7">
        <v>3.5</v>
      </c>
      <c r="L17" s="7">
        <v>3.5</v>
      </c>
      <c r="M17" s="8">
        <v>4</v>
      </c>
      <c r="N17" s="8">
        <v>4</v>
      </c>
    </row>
    <row r="18" spans="2:14" x14ac:dyDescent="0.2">
      <c r="B18">
        <v>14</v>
      </c>
      <c r="C18" s="1">
        <v>625</v>
      </c>
      <c r="D18" s="5">
        <v>2.5</v>
      </c>
      <c r="E18" s="6">
        <v>3</v>
      </c>
      <c r="F18" s="6">
        <v>3</v>
      </c>
      <c r="G18" s="6">
        <v>3</v>
      </c>
      <c r="H18" s="6">
        <v>3</v>
      </c>
      <c r="I18" s="7">
        <v>3.5</v>
      </c>
      <c r="J18" s="7">
        <v>3.5</v>
      </c>
      <c r="K18" s="7">
        <v>3.5</v>
      </c>
      <c r="L18" s="8">
        <v>4</v>
      </c>
      <c r="M18" s="8">
        <v>4</v>
      </c>
      <c r="N18" s="8">
        <v>4</v>
      </c>
    </row>
    <row r="19" spans="2:14" x14ac:dyDescent="0.2">
      <c r="B19">
        <v>15</v>
      </c>
      <c r="C19" s="1">
        <v>650</v>
      </c>
      <c r="D19" s="6">
        <v>3</v>
      </c>
      <c r="E19" s="6">
        <v>3</v>
      </c>
      <c r="F19" s="6">
        <v>3</v>
      </c>
      <c r="G19" s="6">
        <v>3</v>
      </c>
      <c r="H19" s="7">
        <v>3.5</v>
      </c>
      <c r="I19" s="7">
        <v>3.5</v>
      </c>
      <c r="J19" s="7">
        <v>3.5</v>
      </c>
      <c r="K19" s="8">
        <v>4</v>
      </c>
      <c r="L19" s="8">
        <v>4</v>
      </c>
      <c r="M19" s="8">
        <v>4</v>
      </c>
      <c r="N19" s="3">
        <v>4.5</v>
      </c>
    </row>
    <row r="20" spans="2:14" x14ac:dyDescent="0.2">
      <c r="B20">
        <v>16</v>
      </c>
      <c r="C20" s="1">
        <v>675</v>
      </c>
      <c r="D20" s="6">
        <v>3</v>
      </c>
      <c r="E20" s="6">
        <v>3</v>
      </c>
      <c r="F20" s="6">
        <v>3</v>
      </c>
      <c r="G20" s="7">
        <v>3.5</v>
      </c>
      <c r="H20" s="7">
        <v>3.5</v>
      </c>
      <c r="I20" s="7">
        <v>3.5</v>
      </c>
      <c r="J20" s="7">
        <v>3.5</v>
      </c>
      <c r="K20" s="8">
        <v>4</v>
      </c>
      <c r="L20" s="8">
        <v>4</v>
      </c>
      <c r="M20" s="9">
        <v>4.5</v>
      </c>
      <c r="N20" s="3">
        <v>4.5</v>
      </c>
    </row>
    <row r="21" spans="2:14" x14ac:dyDescent="0.2">
      <c r="B21">
        <v>17</v>
      </c>
      <c r="C21" s="1">
        <v>700</v>
      </c>
      <c r="D21" s="6">
        <v>3</v>
      </c>
      <c r="E21" s="6">
        <v>3</v>
      </c>
      <c r="F21" s="6">
        <v>3</v>
      </c>
      <c r="G21" s="7">
        <v>3.5</v>
      </c>
      <c r="H21" s="7">
        <v>3.5</v>
      </c>
      <c r="I21" s="7">
        <v>3.5</v>
      </c>
      <c r="J21" s="8">
        <v>4</v>
      </c>
      <c r="K21" s="8">
        <v>4</v>
      </c>
      <c r="L21" s="8">
        <v>4</v>
      </c>
      <c r="M21" s="9">
        <v>4.5</v>
      </c>
      <c r="N21" s="3">
        <v>4.5</v>
      </c>
    </row>
    <row r="22" spans="2:14" x14ac:dyDescent="0.2">
      <c r="B22">
        <v>18</v>
      </c>
      <c r="C22" s="1">
        <v>725</v>
      </c>
      <c r="D22" s="6">
        <v>3</v>
      </c>
      <c r="E22" s="6">
        <v>3</v>
      </c>
      <c r="F22" s="7">
        <v>3.5</v>
      </c>
      <c r="G22" s="7">
        <v>3.5</v>
      </c>
      <c r="H22" s="7">
        <v>3.5</v>
      </c>
      <c r="I22" s="8">
        <v>4</v>
      </c>
      <c r="J22" s="8">
        <v>4</v>
      </c>
      <c r="K22" s="8">
        <v>4</v>
      </c>
      <c r="L22" s="3">
        <v>4.5</v>
      </c>
      <c r="M22" s="9">
        <v>4.5</v>
      </c>
      <c r="N22" s="10">
        <v>5</v>
      </c>
    </row>
    <row r="23" spans="2:14" x14ac:dyDescent="0.2">
      <c r="B23">
        <v>19</v>
      </c>
      <c r="C23" s="1">
        <v>750</v>
      </c>
      <c r="D23" s="6">
        <v>3</v>
      </c>
      <c r="E23" s="7">
        <v>3.5</v>
      </c>
      <c r="F23" s="7">
        <v>3.5</v>
      </c>
      <c r="G23" s="7">
        <v>3.5</v>
      </c>
      <c r="H23" s="7">
        <v>3.5</v>
      </c>
      <c r="I23" s="8">
        <v>4</v>
      </c>
      <c r="J23" s="8">
        <v>4</v>
      </c>
      <c r="K23" s="3">
        <v>4.5</v>
      </c>
      <c r="L23" s="3">
        <v>4.5</v>
      </c>
      <c r="M23" s="9">
        <v>4.5</v>
      </c>
      <c r="N23" s="10">
        <v>5</v>
      </c>
    </row>
    <row r="24" spans="2:14" x14ac:dyDescent="0.2">
      <c r="B24">
        <v>20</v>
      </c>
      <c r="C24" s="1">
        <v>775</v>
      </c>
      <c r="D24" s="6">
        <v>3</v>
      </c>
      <c r="E24" s="7">
        <v>3.5</v>
      </c>
      <c r="F24" s="7">
        <v>3.5</v>
      </c>
      <c r="G24" s="7">
        <v>3.5</v>
      </c>
      <c r="H24" s="8">
        <v>4</v>
      </c>
      <c r="I24" s="8">
        <v>4</v>
      </c>
      <c r="J24" s="8">
        <v>4</v>
      </c>
      <c r="K24" s="3">
        <v>4.5</v>
      </c>
      <c r="L24" s="3">
        <v>4.5</v>
      </c>
      <c r="M24" s="10">
        <v>5</v>
      </c>
      <c r="N24" s="10">
        <v>5</v>
      </c>
    </row>
    <row r="25" spans="2:14" x14ac:dyDescent="0.2">
      <c r="B25">
        <v>21</v>
      </c>
      <c r="C25" s="1">
        <v>800</v>
      </c>
      <c r="D25" s="7">
        <v>3.5</v>
      </c>
      <c r="E25" s="7">
        <v>3.5</v>
      </c>
      <c r="F25" s="7">
        <v>3.5</v>
      </c>
      <c r="G25" s="8">
        <v>4</v>
      </c>
      <c r="H25" s="8">
        <v>4</v>
      </c>
      <c r="I25" s="8">
        <v>4</v>
      </c>
      <c r="J25" s="3">
        <v>4.5</v>
      </c>
      <c r="K25" s="3">
        <v>4.5</v>
      </c>
      <c r="L25" s="10">
        <v>5</v>
      </c>
      <c r="M25" s="10">
        <v>5</v>
      </c>
      <c r="N25" s="10">
        <v>5</v>
      </c>
    </row>
    <row r="26" spans="2:14" x14ac:dyDescent="0.2">
      <c r="B26">
        <v>22</v>
      </c>
      <c r="C26" s="1">
        <v>825</v>
      </c>
      <c r="D26" s="7">
        <v>3.5</v>
      </c>
      <c r="E26" s="7">
        <v>3.5</v>
      </c>
      <c r="F26" s="7">
        <v>3.5</v>
      </c>
      <c r="G26" s="8">
        <v>4</v>
      </c>
      <c r="H26" s="8">
        <v>4</v>
      </c>
      <c r="I26" s="3">
        <v>4.5</v>
      </c>
      <c r="J26" s="3">
        <v>4.5</v>
      </c>
      <c r="K26" s="3">
        <v>4.5</v>
      </c>
      <c r="L26" s="10">
        <v>5</v>
      </c>
      <c r="M26" s="10">
        <v>5</v>
      </c>
      <c r="N26" s="10" t="s">
        <v>293</v>
      </c>
    </row>
    <row r="27" spans="2:14" x14ac:dyDescent="0.2">
      <c r="B27">
        <v>23</v>
      </c>
      <c r="C27" s="1">
        <v>850</v>
      </c>
      <c r="D27" s="7">
        <v>3.5</v>
      </c>
      <c r="E27" s="7">
        <v>3.5</v>
      </c>
      <c r="F27" s="8">
        <v>4</v>
      </c>
      <c r="G27" s="8">
        <v>4</v>
      </c>
      <c r="H27" s="8">
        <v>4</v>
      </c>
      <c r="I27" s="3">
        <v>4.5</v>
      </c>
      <c r="J27" s="3">
        <v>4.5</v>
      </c>
      <c r="K27" s="10">
        <v>5</v>
      </c>
      <c r="L27" s="10">
        <v>5</v>
      </c>
      <c r="M27" s="10" t="s">
        <v>293</v>
      </c>
      <c r="N27" s="10" t="s">
        <v>293</v>
      </c>
    </row>
    <row r="28" spans="2:14" x14ac:dyDescent="0.2">
      <c r="B28">
        <v>24</v>
      </c>
      <c r="C28" s="1">
        <v>875</v>
      </c>
      <c r="D28" s="7">
        <v>3.5</v>
      </c>
      <c r="E28" s="8">
        <v>4</v>
      </c>
      <c r="F28" s="8">
        <v>4</v>
      </c>
      <c r="G28" s="8">
        <v>4</v>
      </c>
      <c r="H28" s="3">
        <v>4.5</v>
      </c>
      <c r="I28" s="3">
        <v>4.5</v>
      </c>
      <c r="J28" s="3">
        <v>4.5</v>
      </c>
      <c r="K28" s="10">
        <v>5</v>
      </c>
      <c r="L28" s="10">
        <v>5</v>
      </c>
      <c r="M28" s="10" t="s">
        <v>293</v>
      </c>
      <c r="N28" s="10" t="s">
        <v>293</v>
      </c>
    </row>
    <row r="29" spans="2:14" x14ac:dyDescent="0.2">
      <c r="B29">
        <v>25</v>
      </c>
      <c r="C29" s="1">
        <v>900</v>
      </c>
      <c r="D29" s="7">
        <v>3.5</v>
      </c>
      <c r="E29" s="8">
        <v>4</v>
      </c>
      <c r="F29" s="8">
        <v>4</v>
      </c>
      <c r="G29" s="8">
        <v>4</v>
      </c>
      <c r="H29" s="3">
        <v>4.5</v>
      </c>
      <c r="I29" s="3">
        <v>4.5</v>
      </c>
      <c r="J29" s="10">
        <v>5</v>
      </c>
      <c r="K29" s="10">
        <v>5</v>
      </c>
      <c r="L29" s="10" t="s">
        <v>293</v>
      </c>
      <c r="M29" s="10" t="s">
        <v>293</v>
      </c>
      <c r="N29" s="10" t="s">
        <v>293</v>
      </c>
    </row>
    <row r="30" spans="2:14" x14ac:dyDescent="0.2">
      <c r="B30">
        <v>26</v>
      </c>
      <c r="C30" s="1">
        <v>925</v>
      </c>
      <c r="D30" s="8">
        <v>4</v>
      </c>
      <c r="E30" s="8">
        <v>4</v>
      </c>
      <c r="F30" s="8">
        <v>4</v>
      </c>
      <c r="G30" s="3">
        <v>4.5</v>
      </c>
      <c r="H30" s="3">
        <v>4.5</v>
      </c>
      <c r="I30" s="10">
        <v>5</v>
      </c>
      <c r="J30" s="10">
        <v>5</v>
      </c>
      <c r="K30" s="10">
        <v>5</v>
      </c>
      <c r="L30" s="10" t="s">
        <v>293</v>
      </c>
      <c r="M30" s="10" t="s">
        <v>293</v>
      </c>
      <c r="N30" s="10" t="s">
        <v>293</v>
      </c>
    </row>
    <row r="31" spans="2:14" x14ac:dyDescent="0.2">
      <c r="B31">
        <v>27</v>
      </c>
      <c r="C31" s="1">
        <v>950</v>
      </c>
      <c r="D31" s="8">
        <v>4</v>
      </c>
      <c r="E31" s="8">
        <v>4</v>
      </c>
      <c r="F31" s="9">
        <v>4.5</v>
      </c>
      <c r="G31" s="9">
        <v>4.5</v>
      </c>
      <c r="H31" s="10">
        <v>4.5</v>
      </c>
      <c r="I31" s="10">
        <v>5</v>
      </c>
      <c r="J31" s="10">
        <v>5</v>
      </c>
      <c r="K31" s="10" t="s">
        <v>293</v>
      </c>
      <c r="L31" s="10" t="s">
        <v>293</v>
      </c>
      <c r="M31" s="10" t="s">
        <v>293</v>
      </c>
      <c r="N31" s="10" t="s">
        <v>293</v>
      </c>
    </row>
    <row r="32" spans="2:14" x14ac:dyDescent="0.2">
      <c r="B32">
        <v>28</v>
      </c>
      <c r="C32" s="1">
        <v>975</v>
      </c>
      <c r="D32" s="8">
        <v>4</v>
      </c>
      <c r="E32" s="8">
        <v>4</v>
      </c>
      <c r="F32" s="9">
        <v>4.5</v>
      </c>
      <c r="G32" s="9">
        <v>4.5</v>
      </c>
      <c r="H32" s="10">
        <v>5</v>
      </c>
      <c r="I32" s="10">
        <v>5</v>
      </c>
      <c r="J32" s="10">
        <v>5</v>
      </c>
      <c r="K32" s="10" t="s">
        <v>293</v>
      </c>
      <c r="L32" s="10" t="s">
        <v>293</v>
      </c>
      <c r="M32" s="10" t="s">
        <v>293</v>
      </c>
      <c r="N32" s="10" t="s">
        <v>293</v>
      </c>
    </row>
    <row r="34" spans="2:11" ht="13.5" thickBot="1" x14ac:dyDescent="0.25">
      <c r="G34">
        <f>INDEX(C38:G43,B43,5)</f>
        <v>0.55000000000000004</v>
      </c>
    </row>
    <row r="35" spans="2:11" ht="26.25" thickBot="1" x14ac:dyDescent="0.25">
      <c r="C35" s="34"/>
      <c r="D35" s="35" t="s">
        <v>5</v>
      </c>
      <c r="E35" s="35" t="s">
        <v>6</v>
      </c>
      <c r="F35" s="148" t="s">
        <v>0</v>
      </c>
      <c r="G35" s="11" t="s">
        <v>163</v>
      </c>
      <c r="I35" t="s">
        <v>215</v>
      </c>
      <c r="J35" s="142">
        <v>0.2</v>
      </c>
    </row>
    <row r="36" spans="2:11" x14ac:dyDescent="0.2">
      <c r="C36" s="36" t="s">
        <v>65</v>
      </c>
      <c r="D36" s="140">
        <f>INDEX(D46:D51,D45,1)</f>
        <v>0.14135302257829568</v>
      </c>
      <c r="E36" s="37">
        <f>FloorArea</f>
        <v>1200</v>
      </c>
      <c r="F36" s="141">
        <f>D36*FloorArea</f>
        <v>169.62362709395481</v>
      </c>
    </row>
    <row r="37" spans="2:11" ht="13.5" thickBot="1" x14ac:dyDescent="0.25">
      <c r="C37" t="s">
        <v>64</v>
      </c>
      <c r="D37">
        <f>INDEX(D38:D43,B43)</f>
        <v>0.55000000000000004</v>
      </c>
      <c r="E37" s="38">
        <f>WindowArea</f>
        <v>200</v>
      </c>
      <c r="F37" s="38">
        <f>D37*WindowArea</f>
        <v>110.00000000000001</v>
      </c>
      <c r="I37" t="s">
        <v>305</v>
      </c>
      <c r="J37">
        <f>'CAC Sizing Worksheet'!Q35</f>
        <v>42</v>
      </c>
    </row>
    <row r="38" spans="2:11" ht="13.5" thickBot="1" x14ac:dyDescent="0.25">
      <c r="C38" s="40" t="s">
        <v>60</v>
      </c>
      <c r="D38" s="45">
        <v>1.1000000000000001</v>
      </c>
      <c r="E38" s="47"/>
      <c r="F38" s="48"/>
      <c r="G38" s="13">
        <v>0.75</v>
      </c>
      <c r="I38" t="s">
        <v>306</v>
      </c>
      <c r="J38" s="181">
        <f>UAChosen*J37</f>
        <v>14112</v>
      </c>
    </row>
    <row r="39" spans="2:11" x14ac:dyDescent="0.2">
      <c r="C39" s="41" t="s">
        <v>61</v>
      </c>
      <c r="D39" s="46">
        <v>0.75</v>
      </c>
      <c r="E39" s="49"/>
      <c r="F39" s="50"/>
      <c r="G39" s="13">
        <v>0.7</v>
      </c>
    </row>
    <row r="40" spans="2:11" x14ac:dyDescent="0.2">
      <c r="C40" s="42" t="s">
        <v>62</v>
      </c>
      <c r="D40" s="46">
        <v>0.65</v>
      </c>
      <c r="E40" s="49"/>
      <c r="F40" s="50"/>
      <c r="G40" s="13">
        <v>0.6</v>
      </c>
    </row>
    <row r="41" spans="2:11" x14ac:dyDescent="0.2">
      <c r="C41" s="43" t="s">
        <v>57</v>
      </c>
      <c r="D41" s="46">
        <v>0.55000000000000004</v>
      </c>
      <c r="E41" s="49"/>
      <c r="F41" s="50"/>
      <c r="G41" s="13">
        <v>0.6</v>
      </c>
    </row>
    <row r="42" spans="2:11" x14ac:dyDescent="0.2">
      <c r="C42" s="43" t="s">
        <v>58</v>
      </c>
      <c r="D42" s="46">
        <v>0.4</v>
      </c>
      <c r="E42" s="49"/>
      <c r="F42" s="50"/>
      <c r="G42">
        <v>0.35</v>
      </c>
    </row>
    <row r="43" spans="2:11" ht="13.5" thickBot="1" x14ac:dyDescent="0.25">
      <c r="B43">
        <v>6</v>
      </c>
      <c r="C43" s="44" t="s">
        <v>59</v>
      </c>
      <c r="D43" s="159">
        <f>IF($B$43=6,'PTCS Sizing Calculator'!$C$19,"")</f>
        <v>0.55000000000000004</v>
      </c>
      <c r="E43" s="51"/>
      <c r="F43" s="52"/>
      <c r="G43" s="159">
        <f>IF($B$43=6,'PTCS Sizing Calculator'!$C$20,"")</f>
        <v>0.55000000000000004</v>
      </c>
    </row>
    <row r="44" spans="2:11" x14ac:dyDescent="0.2">
      <c r="C44" s="39" t="s">
        <v>63</v>
      </c>
      <c r="D44" s="39"/>
      <c r="E44" s="149"/>
      <c r="F44" s="150">
        <f>ROUND((NonWindowUA+WindowUA),-1)*(1+DuctLosses)</f>
        <v>336</v>
      </c>
      <c r="G44" s="155">
        <f>(UAChosen- (FloorArea*FloorUA_Offset))*(1-DuctLosses)</f>
        <v>256.41089584850693</v>
      </c>
    </row>
    <row r="45" spans="2:11" ht="51" x14ac:dyDescent="0.2">
      <c r="D45">
        <v>6</v>
      </c>
      <c r="E45" s="151" t="s">
        <v>66</v>
      </c>
      <c r="F45" s="151" t="s">
        <v>69</v>
      </c>
      <c r="G45" s="151" t="s">
        <v>68</v>
      </c>
      <c r="H45" s="151" t="s">
        <v>67</v>
      </c>
      <c r="I45" s="151" t="s">
        <v>154</v>
      </c>
      <c r="J45" s="1">
        <f>INDEX($J46:$K51,$D45,1)</f>
        <v>0.05</v>
      </c>
      <c r="K45" s="1">
        <f>INDEX($J46:$K51,$D45,2)</f>
        <v>0.12</v>
      </c>
    </row>
    <row r="46" spans="2:11" x14ac:dyDescent="0.2">
      <c r="C46" s="24" t="s">
        <v>54</v>
      </c>
      <c r="D46" s="25">
        <f t="shared" ref="D46:D51" si="0">I56</f>
        <v>0.20316238164603059</v>
      </c>
      <c r="E46" s="1" t="s">
        <v>71</v>
      </c>
      <c r="F46" s="1" t="s">
        <v>70</v>
      </c>
      <c r="G46" s="1" t="s">
        <v>70</v>
      </c>
      <c r="H46" s="1" t="s">
        <v>70</v>
      </c>
      <c r="I46" s="131" t="s">
        <v>155</v>
      </c>
      <c r="J46" s="1">
        <v>0.11</v>
      </c>
      <c r="K46" s="1">
        <v>0.16</v>
      </c>
    </row>
    <row r="47" spans="2:11" x14ac:dyDescent="0.2">
      <c r="C47" s="24" t="s">
        <v>55</v>
      </c>
      <c r="D47" s="25">
        <f t="shared" si="0"/>
        <v>0.19890309541150761</v>
      </c>
      <c r="E47" s="1" t="s">
        <v>72</v>
      </c>
      <c r="F47" s="1" t="s">
        <v>70</v>
      </c>
      <c r="G47" s="1" t="s">
        <v>70</v>
      </c>
      <c r="H47" s="1" t="s">
        <v>70</v>
      </c>
      <c r="I47" s="131" t="s">
        <v>155</v>
      </c>
      <c r="J47" s="1">
        <v>7.0000000000000007E-2</v>
      </c>
      <c r="K47" s="1">
        <v>0.16</v>
      </c>
    </row>
    <row r="48" spans="2:11" x14ac:dyDescent="0.2">
      <c r="C48" s="24" t="s">
        <v>18</v>
      </c>
      <c r="D48" s="25">
        <f t="shared" si="0"/>
        <v>0.19267294246176253</v>
      </c>
      <c r="E48" s="1" t="s">
        <v>72</v>
      </c>
      <c r="F48" s="1" t="s">
        <v>70</v>
      </c>
      <c r="G48" s="1" t="s">
        <v>70</v>
      </c>
      <c r="H48" s="1" t="s">
        <v>71</v>
      </c>
      <c r="I48" s="131" t="s">
        <v>155</v>
      </c>
      <c r="J48" s="1">
        <v>7.0000000000000007E-2</v>
      </c>
      <c r="K48" s="1">
        <v>0.16</v>
      </c>
    </row>
    <row r="49" spans="3:11" x14ac:dyDescent="0.2">
      <c r="C49" s="24" t="s">
        <v>19</v>
      </c>
      <c r="D49" s="25">
        <f t="shared" si="0"/>
        <v>0.16251125273124545</v>
      </c>
      <c r="E49" s="1" t="s">
        <v>73</v>
      </c>
      <c r="F49" s="1" t="s">
        <v>71</v>
      </c>
      <c r="G49" s="1" t="s">
        <v>70</v>
      </c>
      <c r="H49" s="1" t="s">
        <v>71</v>
      </c>
      <c r="I49" s="131" t="s">
        <v>155</v>
      </c>
      <c r="J49" s="1">
        <v>0.05</v>
      </c>
      <c r="K49" s="1">
        <v>0.12</v>
      </c>
    </row>
    <row r="50" spans="3:11" x14ac:dyDescent="0.2">
      <c r="C50" s="24" t="s">
        <v>20</v>
      </c>
      <c r="D50" s="25">
        <f t="shared" si="0"/>
        <v>0.15158335761107064</v>
      </c>
      <c r="E50" s="1" t="s">
        <v>73</v>
      </c>
      <c r="F50" s="1" t="s">
        <v>71</v>
      </c>
      <c r="G50" s="1" t="s">
        <v>71</v>
      </c>
      <c r="H50" s="1" t="s">
        <v>74</v>
      </c>
      <c r="I50" s="131" t="s">
        <v>156</v>
      </c>
      <c r="J50" s="1">
        <v>0.05</v>
      </c>
      <c r="K50" s="1">
        <v>0.12</v>
      </c>
    </row>
    <row r="51" spans="3:11" x14ac:dyDescent="0.2">
      <c r="C51" s="24" t="s">
        <v>21</v>
      </c>
      <c r="D51" s="25">
        <f t="shared" si="0"/>
        <v>0.14135302257829568</v>
      </c>
      <c r="E51" s="1" t="s">
        <v>73</v>
      </c>
      <c r="F51" s="1" t="s">
        <v>153</v>
      </c>
      <c r="G51" s="1" t="s">
        <v>71</v>
      </c>
      <c r="H51" s="1" t="s">
        <v>72</v>
      </c>
      <c r="I51" s="131" t="s">
        <v>156</v>
      </c>
      <c r="J51" s="1">
        <v>0.05</v>
      </c>
      <c r="K51" s="1">
        <v>0.12</v>
      </c>
    </row>
    <row r="53" spans="3:11" x14ac:dyDescent="0.2">
      <c r="C53" t="s">
        <v>49</v>
      </c>
      <c r="J53" s="154">
        <f>INDEX(J56:J61,B43,1)</f>
        <v>1.2905316824471958E-2</v>
      </c>
    </row>
    <row r="54" spans="3:11" x14ac:dyDescent="0.2">
      <c r="C54" s="211" t="s">
        <v>8</v>
      </c>
      <c r="D54" s="211" t="s">
        <v>50</v>
      </c>
      <c r="E54" s="211"/>
      <c r="F54" s="211" t="s">
        <v>9</v>
      </c>
      <c r="G54" s="210" t="s">
        <v>285</v>
      </c>
      <c r="H54" s="210" t="s">
        <v>286</v>
      </c>
      <c r="I54" s="210" t="s">
        <v>287</v>
      </c>
      <c r="J54" s="210" t="s">
        <v>224</v>
      </c>
    </row>
    <row r="55" spans="3:11" ht="32.25" customHeight="1" x14ac:dyDescent="0.2">
      <c r="C55" s="211"/>
      <c r="D55" s="22" t="s">
        <v>10</v>
      </c>
      <c r="E55" s="22" t="s">
        <v>11</v>
      </c>
      <c r="F55" s="211"/>
      <c r="G55" s="210"/>
      <c r="H55" s="210"/>
      <c r="I55" s="210"/>
      <c r="J55" s="210" t="s">
        <v>224</v>
      </c>
    </row>
    <row r="56" spans="3:11" x14ac:dyDescent="0.2">
      <c r="C56" s="23" t="s">
        <v>12</v>
      </c>
      <c r="D56" s="32">
        <v>0.28699999999999998</v>
      </c>
      <c r="E56" s="33">
        <v>8.6999999999999994E-2</v>
      </c>
      <c r="F56" s="22">
        <v>47</v>
      </c>
      <c r="G56" s="25">
        <f>G$88</f>
        <v>0.11463697821918487</v>
      </c>
      <c r="H56" s="25">
        <f t="shared" ref="H56:H61" si="1">D56-G56</f>
        <v>0.17236302178081511</v>
      </c>
      <c r="I56" s="16">
        <f>'UA Optimizer'!E72</f>
        <v>0.20316238164603059</v>
      </c>
      <c r="J56" s="160">
        <f>'UA Optimizer'!F63</f>
        <v>2.4475600873998544E-2</v>
      </c>
    </row>
    <row r="57" spans="3:11" x14ac:dyDescent="0.2">
      <c r="C57" s="23" t="s">
        <v>13</v>
      </c>
      <c r="D57" s="32">
        <v>0.26</v>
      </c>
      <c r="E57" s="33">
        <v>4.1000000000000002E-2</v>
      </c>
      <c r="F57" s="22">
        <v>25</v>
      </c>
      <c r="G57" s="25">
        <f>G$88</f>
        <v>0.11463697821918487</v>
      </c>
      <c r="H57" s="25">
        <f t="shared" si="1"/>
        <v>0.14536302178081514</v>
      </c>
      <c r="I57" s="16">
        <f>'UA Optimizer'!E87</f>
        <v>0.19890309541150761</v>
      </c>
      <c r="J57" s="160">
        <f>'UA Optimizer'!F78</f>
        <v>2.4475600873998544E-2</v>
      </c>
    </row>
    <row r="58" spans="3:11" x14ac:dyDescent="0.2">
      <c r="C58" s="23" t="s">
        <v>14</v>
      </c>
      <c r="D58" s="32">
        <v>0.247</v>
      </c>
      <c r="E58" s="33">
        <v>5.2999999999999999E-2</v>
      </c>
      <c r="F58" s="22">
        <v>20</v>
      </c>
      <c r="G58" s="25">
        <f>G$102</f>
        <v>7.0811873244627621E-2</v>
      </c>
      <c r="H58" s="25">
        <f t="shared" si="1"/>
        <v>0.17618812675537238</v>
      </c>
      <c r="I58" s="16">
        <f>'UA Optimizer'!E102</f>
        <v>0.19267294246176253</v>
      </c>
      <c r="J58" s="160">
        <f>'UA Optimizer'!F93</f>
        <v>1.824544792425346E-2</v>
      </c>
    </row>
    <row r="59" spans="3:11" x14ac:dyDescent="0.2">
      <c r="C59" s="23" t="s">
        <v>15</v>
      </c>
      <c r="D59" s="32">
        <v>0.19400000000000001</v>
      </c>
      <c r="E59" s="33">
        <v>3.4000000000000002E-2</v>
      </c>
      <c r="F59" s="22">
        <v>22</v>
      </c>
      <c r="G59" s="25">
        <f>G$116</f>
        <v>5.27446139498009E-2</v>
      </c>
      <c r="H59" s="25">
        <f t="shared" si="1"/>
        <v>0.14125538605019911</v>
      </c>
      <c r="I59" s="16">
        <f>'UA Optimizer'!E117</f>
        <v>0.16251125273124545</v>
      </c>
      <c r="J59" s="160">
        <f>'UA Optimizer'!F108</f>
        <v>1.824544792425346E-2</v>
      </c>
    </row>
    <row r="60" spans="3:11" x14ac:dyDescent="0.2">
      <c r="C60" s="23" t="s">
        <v>16</v>
      </c>
      <c r="D60" s="32">
        <v>0.182</v>
      </c>
      <c r="E60" s="33">
        <v>0.03</v>
      </c>
      <c r="F60" s="22">
        <v>31</v>
      </c>
      <c r="G60" s="25">
        <f>G$116</f>
        <v>5.27446139498009E-2</v>
      </c>
      <c r="H60" s="25">
        <f t="shared" si="1"/>
        <v>0.12925538605019909</v>
      </c>
      <c r="I60" s="16">
        <f>'UA Optimizer'!E132</f>
        <v>0.15158335761107064</v>
      </c>
      <c r="J60" s="160">
        <f>'UA Optimizer'!F123</f>
        <v>1.4685360524399126E-2</v>
      </c>
    </row>
    <row r="61" spans="3:11" x14ac:dyDescent="0.2">
      <c r="C61" s="23" t="s">
        <v>17</v>
      </c>
      <c r="D61" s="32">
        <v>0.17</v>
      </c>
      <c r="E61" s="33">
        <v>2.7E-2</v>
      </c>
      <c r="F61" s="22">
        <v>13</v>
      </c>
      <c r="G61" s="25">
        <f>G$116</f>
        <v>5.27446139498009E-2</v>
      </c>
      <c r="H61" s="25">
        <f t="shared" si="1"/>
        <v>0.11725538605019911</v>
      </c>
      <c r="I61" s="16">
        <f>'UA Optimizer'!E147</f>
        <v>0.14135302257829568</v>
      </c>
      <c r="J61" s="160">
        <f>'UA Optimizer'!F138</f>
        <v>1.2905316824471958E-2</v>
      </c>
    </row>
    <row r="62" spans="3:11" x14ac:dyDescent="0.2">
      <c r="C62" s="23" t="s">
        <v>7</v>
      </c>
      <c r="D62" s="32">
        <v>0.23400000000000001</v>
      </c>
      <c r="E62" s="33">
        <v>7.2999999999999995E-2</v>
      </c>
      <c r="F62" s="22">
        <v>158</v>
      </c>
    </row>
    <row r="64" spans="3:11" ht="15.75" x14ac:dyDescent="0.2">
      <c r="C64" s="12"/>
    </row>
    <row r="65" spans="2:13" x14ac:dyDescent="0.2">
      <c r="C65" t="s">
        <v>47</v>
      </c>
      <c r="I65" t="s">
        <v>52</v>
      </c>
    </row>
    <row r="66" spans="2:13" x14ac:dyDescent="0.2">
      <c r="B66" t="s">
        <v>42</v>
      </c>
      <c r="C66" s="1" t="s">
        <v>48</v>
      </c>
      <c r="D66" s="1" t="s">
        <v>22</v>
      </c>
      <c r="E66" s="1" t="s">
        <v>23</v>
      </c>
      <c r="F66" s="1" t="s">
        <v>24</v>
      </c>
      <c r="G66" s="1" t="s">
        <v>25</v>
      </c>
      <c r="I66" s="1" t="s">
        <v>22</v>
      </c>
      <c r="J66" s="1" t="s">
        <v>23</v>
      </c>
      <c r="K66" s="1" t="s">
        <v>24</v>
      </c>
      <c r="L66" s="1" t="s">
        <v>25</v>
      </c>
      <c r="M66" s="28"/>
    </row>
    <row r="67" spans="2:13" x14ac:dyDescent="0.2">
      <c r="B67" s="20">
        <f>1/3</f>
        <v>0.33333333333333331</v>
      </c>
      <c r="C67" s="1">
        <v>2184</v>
      </c>
      <c r="D67" s="16">
        <v>0.16123617656312689</v>
      </c>
      <c r="E67" s="16">
        <v>0.1561961765631269</v>
      </c>
      <c r="F67" s="16">
        <v>0.15480331942026976</v>
      </c>
      <c r="G67" s="16">
        <v>0.12979189084884121</v>
      </c>
      <c r="I67">
        <v>2184</v>
      </c>
      <c r="J67" s="28">
        <v>5.5903398926654746E-2</v>
      </c>
      <c r="K67" s="28">
        <v>5.5903398926654718E-2</v>
      </c>
      <c r="L67" s="28">
        <v>4.910580664471717E-2</v>
      </c>
      <c r="M67" s="28">
        <v>4.22551081730769E-2</v>
      </c>
    </row>
    <row r="68" spans="2:13" x14ac:dyDescent="0.2">
      <c r="B68" s="20">
        <f>1/3</f>
        <v>0.33333333333333331</v>
      </c>
      <c r="C68" s="1">
        <v>2200</v>
      </c>
      <c r="D68" s="16">
        <v>0.15855648543127265</v>
      </c>
      <c r="E68" s="16">
        <v>0.15351648543127266</v>
      </c>
      <c r="F68" s="16">
        <v>0.15048660828139554</v>
      </c>
      <c r="G68" s="16">
        <v>0.12333024464503188</v>
      </c>
      <c r="I68">
        <v>2200</v>
      </c>
      <c r="J68" s="28">
        <v>6.4482029598308649E-2</v>
      </c>
      <c r="K68" s="28">
        <v>6.4482029598308677E-2</v>
      </c>
      <c r="L68" s="28">
        <v>5.6641315882560994E-2</v>
      </c>
      <c r="M68" s="28">
        <v>4.8739346590909075E-2</v>
      </c>
    </row>
    <row r="69" spans="2:13" x14ac:dyDescent="0.2">
      <c r="B69" s="20">
        <f>1/3</f>
        <v>0.33333333333333331</v>
      </c>
      <c r="C69" s="1">
        <v>2283</v>
      </c>
      <c r="D69" s="16">
        <v>0.19926938957111645</v>
      </c>
      <c r="E69" s="16">
        <v>0.19422938957111646</v>
      </c>
      <c r="F69" s="16">
        <v>0.1938640807669115</v>
      </c>
      <c r="G69" s="16">
        <v>0.16536188190576392</v>
      </c>
      <c r="I69">
        <v>2283</v>
      </c>
      <c r="J69" s="28">
        <v>3.5652802819627377E-2</v>
      </c>
      <c r="K69" s="28">
        <v>3.5652802819627377E-2</v>
      </c>
      <c r="L69" s="28">
        <v>3.1317588468991742E-2</v>
      </c>
      <c r="M69" s="28">
        <v>2.6948505256241762E-2</v>
      </c>
    </row>
    <row r="70" spans="2:13" x14ac:dyDescent="0.2">
      <c r="C70" s="18">
        <f>AVERAGE(C67:C69)</f>
        <v>2222.3333333333335</v>
      </c>
      <c r="D70" s="19">
        <f t="shared" ref="D70:I70" si="2">AVERAGE(D67:D69)</f>
        <v>0.173020683855172</v>
      </c>
      <c r="E70" s="19">
        <f t="shared" si="2"/>
        <v>0.16798068385517198</v>
      </c>
      <c r="F70" s="19">
        <f t="shared" si="2"/>
        <v>0.1663846694895256</v>
      </c>
      <c r="G70" s="19">
        <f t="shared" si="2"/>
        <v>0.13949467246654568</v>
      </c>
      <c r="I70" s="29">
        <f t="shared" si="2"/>
        <v>2222.3333333333335</v>
      </c>
      <c r="J70" s="19">
        <f>AVERAGE(J67:J69)</f>
        <v>5.2012743781530257E-2</v>
      </c>
      <c r="K70" s="19">
        <f>AVERAGE(K67:K69)</f>
        <v>5.2012743781530257E-2</v>
      </c>
      <c r="L70" s="19">
        <f>AVERAGE(L67:L69)</f>
        <v>4.5688236998756633E-2</v>
      </c>
      <c r="M70" s="19">
        <f>AVERAGE(M67:M69)</f>
        <v>3.9314320006742579E-2</v>
      </c>
    </row>
    <row r="71" spans="2:13" x14ac:dyDescent="0.2">
      <c r="C71" s="2" t="s">
        <v>53</v>
      </c>
      <c r="D71" s="30">
        <f>J70</f>
        <v>5.2012743781530257E-2</v>
      </c>
      <c r="E71" s="30">
        <f>K70</f>
        <v>5.2012743781530257E-2</v>
      </c>
      <c r="F71" s="30">
        <f>L70</f>
        <v>4.5688236998756633E-2</v>
      </c>
      <c r="G71" s="30">
        <f>M70</f>
        <v>3.9314320006742579E-2</v>
      </c>
    </row>
    <row r="73" spans="2:13" x14ac:dyDescent="0.2">
      <c r="D73" s="13"/>
      <c r="E73" s="13"/>
      <c r="F73" s="13"/>
      <c r="G73" s="13"/>
    </row>
    <row r="74" spans="2:13" x14ac:dyDescent="0.2">
      <c r="C74" t="s">
        <v>46</v>
      </c>
    </row>
    <row r="75" spans="2:13" x14ac:dyDescent="0.2">
      <c r="C75" s="1" t="s">
        <v>42</v>
      </c>
      <c r="D75" s="21">
        <v>0.05</v>
      </c>
      <c r="E75" s="21">
        <v>0.1</v>
      </c>
      <c r="F75" s="21">
        <v>0.85</v>
      </c>
    </row>
    <row r="76" spans="2:13" x14ac:dyDescent="0.2">
      <c r="C76" s="1"/>
      <c r="D76" s="1">
        <v>850</v>
      </c>
      <c r="E76" s="1">
        <v>1350</v>
      </c>
      <c r="F76" s="1">
        <v>2184</v>
      </c>
      <c r="G76" s="14">
        <f>SUMPRODUCT($D$75:$F$75,D76:F76)</f>
        <v>2033.8999999999999</v>
      </c>
    </row>
    <row r="77" spans="2:13" x14ac:dyDescent="0.2">
      <c r="C77" s="1" t="s">
        <v>26</v>
      </c>
      <c r="D77" s="14">
        <v>76.14</v>
      </c>
      <c r="E77" s="14">
        <v>95.034000000000006</v>
      </c>
      <c r="F77" s="14">
        <v>142.97399999999999</v>
      </c>
      <c r="G77" s="1"/>
    </row>
    <row r="78" spans="2:13" x14ac:dyDescent="0.2">
      <c r="C78" s="1" t="s">
        <v>27</v>
      </c>
      <c r="D78" s="14">
        <v>68</v>
      </c>
      <c r="E78" s="14">
        <v>108</v>
      </c>
      <c r="F78" s="14">
        <v>58.24</v>
      </c>
      <c r="G78" s="1"/>
    </row>
    <row r="79" spans="2:13" x14ac:dyDescent="0.2">
      <c r="C79" s="1" t="s">
        <v>28</v>
      </c>
      <c r="D79" s="14">
        <v>46.75</v>
      </c>
      <c r="E79" s="14">
        <v>74.25</v>
      </c>
      <c r="F79" s="14">
        <v>40.04</v>
      </c>
      <c r="G79" s="1"/>
    </row>
    <row r="80" spans="2:13" x14ac:dyDescent="0.2">
      <c r="C80" s="1" t="s">
        <v>29</v>
      </c>
      <c r="D80" s="14">
        <v>61.946000000000005</v>
      </c>
      <c r="E80" s="14">
        <v>98.191000000000003</v>
      </c>
      <c r="F80" s="14">
        <v>207.58500000000001</v>
      </c>
      <c r="G80" s="14">
        <f>SUMPRODUCT($D$75:$F$75,D80:F80)</f>
        <v>189.36365000000001</v>
      </c>
    </row>
    <row r="81" spans="3:7" x14ac:dyDescent="0.2">
      <c r="C81" s="1" t="s">
        <v>30</v>
      </c>
      <c r="D81" s="14">
        <v>18.8</v>
      </c>
      <c r="E81" s="14">
        <v>18.8</v>
      </c>
      <c r="F81" s="14">
        <v>18.8</v>
      </c>
      <c r="G81" s="1"/>
    </row>
    <row r="82" spans="3:7" x14ac:dyDescent="0.2">
      <c r="C82" s="1" t="s">
        <v>31</v>
      </c>
      <c r="D82" s="14">
        <v>61.2</v>
      </c>
      <c r="E82" s="14">
        <v>97.2</v>
      </c>
      <c r="F82" s="14">
        <v>157.24799999999999</v>
      </c>
      <c r="G82" s="1"/>
    </row>
    <row r="83" spans="3:7" x14ac:dyDescent="0.2">
      <c r="C83" s="1" t="s">
        <v>32</v>
      </c>
      <c r="D83" s="14">
        <v>0</v>
      </c>
      <c r="E83" s="14">
        <v>0</v>
      </c>
      <c r="F83" s="14">
        <v>112.89600000000002</v>
      </c>
      <c r="G83" s="1"/>
    </row>
    <row r="84" spans="3:7" x14ac:dyDescent="0.2">
      <c r="C84" s="1" t="s">
        <v>33</v>
      </c>
      <c r="D84" s="14">
        <v>332.83599999999996</v>
      </c>
      <c r="E84" s="14">
        <v>491.47500000000002</v>
      </c>
      <c r="F84" s="14">
        <v>737.7829999999999</v>
      </c>
      <c r="G84" s="14">
        <f>SUMPRODUCT($D$75:$F$75,D84:F84)</f>
        <v>692.9048499999999</v>
      </c>
    </row>
    <row r="85" spans="3:7" x14ac:dyDescent="0.2">
      <c r="C85" s="15" t="s">
        <v>158</v>
      </c>
      <c r="D85" s="15">
        <f>D84-D80-D79</f>
        <v>224.13999999999993</v>
      </c>
      <c r="E85" s="15">
        <f>E84-E80-E79</f>
        <v>319.03399999999999</v>
      </c>
      <c r="F85" s="15">
        <f>F84-F80-F79</f>
        <v>490.15799999999984</v>
      </c>
      <c r="G85" s="14">
        <f>SUMPRODUCT($D$75:$F$75,D85:F85)</f>
        <v>459.74469999999985</v>
      </c>
    </row>
    <row r="86" spans="3:7" x14ac:dyDescent="0.2">
      <c r="C86" s="15" t="s">
        <v>51</v>
      </c>
      <c r="D86" s="25">
        <f>D84/D76</f>
        <v>0.39157176470588229</v>
      </c>
      <c r="E86" s="25">
        <f>E84/E76</f>
        <v>0.36405555555555558</v>
      </c>
      <c r="F86" s="25">
        <f>F84/F76</f>
        <v>0.3378127289377289</v>
      </c>
      <c r="G86" s="26">
        <f>G84/G76</f>
        <v>0.34067793401838831</v>
      </c>
    </row>
    <row r="87" spans="3:7" x14ac:dyDescent="0.2">
      <c r="C87" s="1" t="s">
        <v>43</v>
      </c>
      <c r="D87" s="16">
        <f>D85/D76</f>
        <v>0.26369411764705875</v>
      </c>
      <c r="E87" s="16">
        <f>E85/E76</f>
        <v>0.23632148148148147</v>
      </c>
      <c r="F87" s="16">
        <f>F85/F76</f>
        <v>0.2244313186813186</v>
      </c>
      <c r="G87" s="17">
        <f>G85/G76</f>
        <v>0.22604095579920344</v>
      </c>
    </row>
    <row r="88" spans="3:7" x14ac:dyDescent="0.2">
      <c r="C88" s="27" t="s">
        <v>52</v>
      </c>
      <c r="G88" s="31">
        <f>G86-G87</f>
        <v>0.11463697821918487</v>
      </c>
    </row>
    <row r="89" spans="3:7" x14ac:dyDescent="0.2">
      <c r="C89" s="1" t="s">
        <v>44</v>
      </c>
      <c r="D89" s="1"/>
      <c r="E89" s="1"/>
      <c r="F89" s="1"/>
      <c r="G89" s="14" t="s">
        <v>34</v>
      </c>
    </row>
    <row r="90" spans="3:7" x14ac:dyDescent="0.2">
      <c r="C90" s="1"/>
      <c r="D90" s="1">
        <v>850</v>
      </c>
      <c r="E90" s="1">
        <v>1350</v>
      </c>
      <c r="F90" s="1">
        <v>2184</v>
      </c>
      <c r="G90" s="14">
        <f>SUMPRODUCT($D$75:$F$75,D90:F90)</f>
        <v>2033.8999999999999</v>
      </c>
    </row>
    <row r="91" spans="3:7" x14ac:dyDescent="0.2">
      <c r="C91" s="1" t="s">
        <v>26</v>
      </c>
      <c r="D91" s="14">
        <v>76.14</v>
      </c>
      <c r="E91" s="14">
        <v>95.034000000000006</v>
      </c>
      <c r="F91" s="14">
        <v>142.97399999999999</v>
      </c>
      <c r="G91" s="1"/>
    </row>
    <row r="92" spans="3:7" x14ac:dyDescent="0.2">
      <c r="C92" s="1" t="s">
        <v>35</v>
      </c>
      <c r="D92" s="14">
        <v>51</v>
      </c>
      <c r="E92" s="14">
        <v>81</v>
      </c>
      <c r="F92" s="14">
        <v>43.68</v>
      </c>
      <c r="G92" s="1"/>
    </row>
    <row r="93" spans="3:7" x14ac:dyDescent="0.2">
      <c r="C93" s="1" t="s">
        <v>36</v>
      </c>
      <c r="D93" s="14">
        <v>34.85</v>
      </c>
      <c r="E93" s="14">
        <v>55.35</v>
      </c>
      <c r="F93" s="14">
        <v>29.848000000000003</v>
      </c>
      <c r="G93" s="1"/>
    </row>
    <row r="94" spans="3:7" x14ac:dyDescent="0.2">
      <c r="C94" s="1" t="s">
        <v>37</v>
      </c>
      <c r="D94" s="14">
        <v>36.434108527131777</v>
      </c>
      <c r="E94" s="14">
        <v>57.751937984496116</v>
      </c>
      <c r="F94" s="14">
        <v>122.09302325581395</v>
      </c>
      <c r="G94" s="14">
        <f>SUMPRODUCT($D$75:$F$75,D94:F94)</f>
        <v>111.37596899224806</v>
      </c>
    </row>
    <row r="95" spans="3:7" x14ac:dyDescent="0.2">
      <c r="C95" s="1" t="s">
        <v>30</v>
      </c>
      <c r="D95" s="14">
        <v>18.8</v>
      </c>
      <c r="E95" s="14">
        <v>18.8</v>
      </c>
      <c r="F95" s="14">
        <v>18.8</v>
      </c>
      <c r="G95" s="1"/>
    </row>
    <row r="96" spans="3:7" x14ac:dyDescent="0.2">
      <c r="C96" s="1" t="s">
        <v>31</v>
      </c>
      <c r="D96" s="14">
        <v>61.2</v>
      </c>
      <c r="E96" s="14">
        <v>97.2</v>
      </c>
      <c r="F96" s="14">
        <v>157.24799999999999</v>
      </c>
      <c r="G96" s="1"/>
    </row>
    <row r="97" spans="3:7" x14ac:dyDescent="0.2">
      <c r="C97" s="1" t="s">
        <v>32</v>
      </c>
      <c r="D97" s="14">
        <v>0</v>
      </c>
      <c r="E97" s="14">
        <v>0</v>
      </c>
      <c r="F97" s="14">
        <v>112.89600000000002</v>
      </c>
      <c r="G97" s="1"/>
    </row>
    <row r="98" spans="3:7" x14ac:dyDescent="0.2">
      <c r="C98" s="1" t="s">
        <v>33</v>
      </c>
      <c r="D98" s="14">
        <v>278.42410852713175</v>
      </c>
      <c r="E98" s="14">
        <v>405.13593798449608</v>
      </c>
      <c r="F98" s="14">
        <v>627.53902325581385</v>
      </c>
      <c r="G98" s="14">
        <f>SUMPRODUCT($D$75:$F$75,D98:F98)</f>
        <v>587.84296899224796</v>
      </c>
    </row>
    <row r="99" spans="3:7" x14ac:dyDescent="0.2">
      <c r="C99" s="15" t="s">
        <v>158</v>
      </c>
      <c r="D99" s="15">
        <f>D98-D94-D93</f>
        <v>207.14</v>
      </c>
      <c r="E99" s="15">
        <f>E98-E94-E93</f>
        <v>292.03399999999993</v>
      </c>
      <c r="F99" s="15">
        <f>F98-F94-F93</f>
        <v>475.5979999999999</v>
      </c>
      <c r="G99" s="14">
        <f>SUMPRODUCT($D$75:$F$75,D99:F99)</f>
        <v>443.81869999999992</v>
      </c>
    </row>
    <row r="100" spans="3:7" x14ac:dyDescent="0.2">
      <c r="C100" s="15" t="s">
        <v>51</v>
      </c>
      <c r="D100" s="25">
        <f>D98/D90</f>
        <v>0.32755777473780207</v>
      </c>
      <c r="E100" s="25">
        <f>E98/E90</f>
        <v>0.3001006948033304</v>
      </c>
      <c r="F100" s="25">
        <f>F98/F90</f>
        <v>0.28733471760797336</v>
      </c>
      <c r="G100" s="26">
        <f>G98/G90</f>
        <v>0.28902255223572842</v>
      </c>
    </row>
    <row r="101" spans="3:7" x14ac:dyDescent="0.2">
      <c r="C101" s="1" t="s">
        <v>43</v>
      </c>
      <c r="D101" s="16">
        <f>D99/D90</f>
        <v>0.24369411764705881</v>
      </c>
      <c r="E101" s="16">
        <f>E99/E90</f>
        <v>0.21632148148148142</v>
      </c>
      <c r="F101" s="16">
        <f>F99/F90</f>
        <v>0.21776465201465198</v>
      </c>
      <c r="G101" s="17">
        <f>G99/G90</f>
        <v>0.2182106789911008</v>
      </c>
    </row>
    <row r="102" spans="3:7" x14ac:dyDescent="0.2">
      <c r="C102" s="27" t="s">
        <v>52</v>
      </c>
      <c r="G102" s="31">
        <f>G100-G101</f>
        <v>7.0811873244627621E-2</v>
      </c>
    </row>
    <row r="103" spans="3:7" x14ac:dyDescent="0.2">
      <c r="C103" s="1" t="s">
        <v>45</v>
      </c>
      <c r="D103" s="1"/>
      <c r="E103" s="1"/>
      <c r="F103" s="1"/>
      <c r="G103" s="14" t="s">
        <v>34</v>
      </c>
    </row>
    <row r="104" spans="3:7" x14ac:dyDescent="0.2">
      <c r="C104" s="1"/>
      <c r="D104" s="1">
        <v>850</v>
      </c>
      <c r="E104" s="1">
        <v>1350</v>
      </c>
      <c r="F104" s="1">
        <v>2184</v>
      </c>
      <c r="G104" s="14">
        <f>SUMPRODUCT($D$75:$F$75,D104:F104)</f>
        <v>2033.8999999999999</v>
      </c>
    </row>
    <row r="105" spans="3:7" x14ac:dyDescent="0.2">
      <c r="C105" s="1" t="s">
        <v>26</v>
      </c>
      <c r="D105" s="14">
        <v>76.14</v>
      </c>
      <c r="E105" s="14">
        <v>95.034000000000006</v>
      </c>
      <c r="F105" s="14">
        <v>142.97399999999999</v>
      </c>
      <c r="G105" s="1"/>
    </row>
    <row r="106" spans="3:7" x14ac:dyDescent="0.2">
      <c r="C106" s="1" t="s">
        <v>38</v>
      </c>
      <c r="D106" s="14">
        <v>33.15</v>
      </c>
      <c r="E106" s="14">
        <v>52.65</v>
      </c>
      <c r="F106" s="14">
        <v>28.391999999999999</v>
      </c>
      <c r="G106" s="1"/>
    </row>
    <row r="107" spans="3:7" x14ac:dyDescent="0.2">
      <c r="C107" s="1" t="s">
        <v>39</v>
      </c>
      <c r="D107" s="14">
        <v>24.65</v>
      </c>
      <c r="E107" s="14">
        <v>39.15</v>
      </c>
      <c r="F107" s="14">
        <v>21.112000000000002</v>
      </c>
      <c r="G107" s="1"/>
    </row>
    <row r="108" spans="3:7" x14ac:dyDescent="0.2">
      <c r="C108" s="1" t="s">
        <v>40</v>
      </c>
      <c r="D108" s="14">
        <v>27.5390625</v>
      </c>
      <c r="E108" s="14">
        <v>43.65234375</v>
      </c>
      <c r="F108" s="14">
        <v>92.28515625</v>
      </c>
      <c r="G108" s="14">
        <f>SUMPRODUCT($D$75:$F$75,D108:F108)</f>
        <v>84.1845703125</v>
      </c>
    </row>
    <row r="109" spans="3:7" x14ac:dyDescent="0.2">
      <c r="C109" s="1" t="s">
        <v>30</v>
      </c>
      <c r="D109" s="14">
        <v>18.8</v>
      </c>
      <c r="E109" s="14">
        <v>18.8</v>
      </c>
      <c r="F109" s="14">
        <v>18.8</v>
      </c>
      <c r="G109" s="1"/>
    </row>
    <row r="110" spans="3:7" x14ac:dyDescent="0.2">
      <c r="C110" s="1" t="s">
        <v>41</v>
      </c>
      <c r="D110" s="14">
        <v>48.96</v>
      </c>
      <c r="E110" s="14">
        <v>77.760000000000005</v>
      </c>
      <c r="F110" s="14">
        <v>125.7984</v>
      </c>
      <c r="G110" s="1"/>
    </row>
    <row r="111" spans="3:7" x14ac:dyDescent="0.2">
      <c r="C111" s="1" t="s">
        <v>32</v>
      </c>
      <c r="D111" s="14">
        <v>0</v>
      </c>
      <c r="E111" s="14">
        <v>0</v>
      </c>
      <c r="F111" s="14">
        <v>112.89600000000002</v>
      </c>
      <c r="G111" s="1"/>
    </row>
    <row r="112" spans="3:7" x14ac:dyDescent="0.2">
      <c r="C112" s="1" t="s">
        <v>33</v>
      </c>
      <c r="D112" s="14">
        <v>229.23906250000002</v>
      </c>
      <c r="E112" s="14">
        <v>327.04634375000001</v>
      </c>
      <c r="F112" s="14">
        <v>542.25755624999999</v>
      </c>
      <c r="G112" s="14">
        <f>SUMPRODUCT($D$75:$F$75,D112:F112)</f>
        <v>505.08551031249999</v>
      </c>
    </row>
    <row r="113" spans="3:7" x14ac:dyDescent="0.2">
      <c r="C113" s="15" t="s">
        <v>158</v>
      </c>
      <c r="D113" s="15">
        <f>D112-D108-D107</f>
        <v>177.05</v>
      </c>
      <c r="E113" s="15">
        <f>E112-E108-E107</f>
        <v>244.244</v>
      </c>
      <c r="F113" s="15">
        <f>F112-F108-F107</f>
        <v>428.86039999999997</v>
      </c>
      <c r="G113" s="14">
        <f>SUMPRODUCT($D$75:$F$75,D113:F113)</f>
        <v>397.80823999999996</v>
      </c>
    </row>
    <row r="114" spans="3:7" x14ac:dyDescent="0.2">
      <c r="C114" s="15" t="s">
        <v>51</v>
      </c>
      <c r="D114" s="25">
        <f>D112/D104</f>
        <v>0.26969301470588236</v>
      </c>
      <c r="E114" s="25">
        <f>E112/E104</f>
        <v>0.24225655092592593</v>
      </c>
      <c r="F114" s="25">
        <f>F112/F104</f>
        <v>0.24828642685439561</v>
      </c>
      <c r="G114" s="26">
        <f>G112/G104</f>
        <v>0.24833350229239393</v>
      </c>
    </row>
    <row r="115" spans="3:7" x14ac:dyDescent="0.2">
      <c r="C115" s="1" t="s">
        <v>43</v>
      </c>
      <c r="D115" s="16">
        <f>D113/D104</f>
        <v>0.20829411764705882</v>
      </c>
      <c r="E115" s="16">
        <f>E113/E104</f>
        <v>0.18092148148148149</v>
      </c>
      <c r="F115" s="16">
        <f>F113/F104</f>
        <v>0.196364652014652</v>
      </c>
      <c r="G115" s="17">
        <f>G113/G104</f>
        <v>0.19558888834259303</v>
      </c>
    </row>
    <row r="116" spans="3:7" x14ac:dyDescent="0.2">
      <c r="C116" s="27" t="s">
        <v>52</v>
      </c>
      <c r="G116" s="31">
        <f>G114-G115</f>
        <v>5.27446139498009E-2</v>
      </c>
    </row>
  </sheetData>
  <mergeCells count="7">
    <mergeCell ref="J54:J55"/>
    <mergeCell ref="H54:H55"/>
    <mergeCell ref="I54:I55"/>
    <mergeCell ref="C54:C55"/>
    <mergeCell ref="D54:E54"/>
    <mergeCell ref="F54:F55"/>
    <mergeCell ref="G54:G55"/>
  </mergeCells>
  <phoneticPr fontId="0" type="noConversion"/>
  <pageMargins left="0.75" right="0.75" top="1" bottom="1" header="0.5" footer="0.5"/>
  <pageSetup orientation="portrait"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BP274"/>
  <sheetViews>
    <sheetView defaultGridColor="0" topLeftCell="A55" colorId="8" zoomScale="75" workbookViewId="0">
      <selection activeCell="P24" sqref="P24"/>
    </sheetView>
  </sheetViews>
  <sheetFormatPr defaultColWidth="8.85546875" defaultRowHeight="14.25" x14ac:dyDescent="0.2"/>
  <cols>
    <col min="1" max="1" width="31.85546875" style="54" customWidth="1"/>
    <col min="2" max="2" width="16.42578125" style="54" customWidth="1"/>
    <col min="3" max="3" width="10.5703125" style="54" customWidth="1"/>
    <col min="4" max="4" width="13.5703125" style="54" customWidth="1"/>
    <col min="5" max="5" width="12.140625" style="54" customWidth="1"/>
    <col min="6" max="6" width="12.42578125" style="54" customWidth="1"/>
    <col min="7" max="7" width="8.42578125" style="54" customWidth="1"/>
    <col min="8" max="8" width="9.28515625" style="54" customWidth="1"/>
    <col min="9" max="9" width="11.28515625" style="54" customWidth="1"/>
    <col min="10" max="10" width="12.7109375" style="54" customWidth="1"/>
    <col min="11" max="11" width="11.42578125" style="54" customWidth="1"/>
    <col min="12" max="12" width="15" style="54" customWidth="1"/>
    <col min="13" max="13" width="11.42578125" style="54" customWidth="1"/>
    <col min="14" max="14" width="23" style="54" customWidth="1"/>
    <col min="15" max="16" width="12.5703125" style="54" customWidth="1"/>
    <col min="17" max="17" width="20.140625" style="54" customWidth="1"/>
    <col min="18" max="18" width="14.28515625" style="54" customWidth="1"/>
    <col min="19" max="19" width="28.5703125" style="54" customWidth="1"/>
    <col min="20" max="20" width="27" style="54" customWidth="1"/>
    <col min="21" max="21" width="19.140625" style="54" customWidth="1"/>
    <col min="22" max="22" width="18.42578125" style="54" customWidth="1"/>
    <col min="23" max="23" width="10.42578125" style="54" customWidth="1"/>
    <col min="24" max="24" width="27.42578125" style="54" customWidth="1"/>
    <col min="25" max="25" width="25.7109375" style="54" customWidth="1"/>
    <col min="26" max="26" width="14.5703125" style="54" customWidth="1"/>
    <col min="27" max="27" width="15.85546875" style="54" customWidth="1"/>
    <col min="28" max="28" width="10.140625" style="54" customWidth="1"/>
    <col min="29" max="29" width="10.7109375" style="54" customWidth="1"/>
    <col min="30" max="30" width="28.28515625" style="54" customWidth="1"/>
    <col min="31" max="31" width="15.5703125" style="54" customWidth="1"/>
    <col min="32" max="32" width="17.140625" style="54" customWidth="1"/>
    <col min="33" max="33" width="11" style="54" customWidth="1"/>
    <col min="34" max="34" width="9.42578125" style="54" customWidth="1"/>
    <col min="35" max="43" width="8.85546875" style="54" customWidth="1"/>
    <col min="44" max="44" width="9.5703125" style="54" customWidth="1"/>
    <col min="45" max="46" width="8.85546875" style="54" customWidth="1"/>
    <col min="47" max="47" width="10.140625" style="54" customWidth="1"/>
    <col min="48" max="48" width="10.42578125" style="54" customWidth="1"/>
    <col min="49" max="52" width="8.85546875" style="54" customWidth="1"/>
    <col min="53" max="53" width="10.42578125" style="54" customWidth="1"/>
    <col min="54" max="55" width="8.85546875" style="54" customWidth="1"/>
    <col min="56" max="56" width="9.85546875" style="54" customWidth="1"/>
    <col min="57" max="57" width="10.5703125" style="54" customWidth="1"/>
    <col min="58" max="58" width="8.140625" style="54" customWidth="1"/>
    <col min="59" max="65" width="8.85546875" style="54" customWidth="1"/>
    <col min="66" max="66" width="10.85546875" style="54" customWidth="1"/>
    <col min="67" max="16384" width="8.85546875" style="54"/>
  </cols>
  <sheetData>
    <row r="1" spans="1:68" x14ac:dyDescent="0.2">
      <c r="L1"/>
      <c r="M1"/>
      <c r="N1"/>
      <c r="O1"/>
      <c r="AR1" s="55" t="s">
        <v>75</v>
      </c>
      <c r="AS1" s="55"/>
      <c r="AT1" s="55"/>
      <c r="AU1" s="55"/>
      <c r="BA1" s="55" t="s">
        <v>146</v>
      </c>
      <c r="BJ1" s="55" t="s">
        <v>76</v>
      </c>
    </row>
    <row r="2" spans="1:68" ht="15" thickBot="1" x14ac:dyDescent="0.25">
      <c r="L2"/>
      <c r="M2"/>
      <c r="N2"/>
      <c r="O2"/>
      <c r="T2" s="56">
        <f>A2</f>
        <v>0</v>
      </c>
      <c r="U2" s="57">
        <f>IF(I2=0,0,(M2/I2))</f>
        <v>0</v>
      </c>
      <c r="V2" s="57">
        <f>I2</f>
        <v>0</v>
      </c>
      <c r="W2" s="58">
        <f>M2</f>
        <v>0</v>
      </c>
      <c r="Y2" s="56">
        <f>A2</f>
        <v>0</v>
      </c>
      <c r="Z2" s="57">
        <f>IF(N2=0,0,(N2/J2))</f>
        <v>0</v>
      </c>
      <c r="AA2" s="57">
        <f>J2</f>
        <v>0</v>
      </c>
      <c r="AB2" s="58">
        <f>N2</f>
        <v>0</v>
      </c>
      <c r="AC2" s="58"/>
      <c r="AD2" s="56">
        <f>A2</f>
        <v>0</v>
      </c>
      <c r="AE2" s="57">
        <f>IF(O2=0,0,(O2/K2))</f>
        <v>0</v>
      </c>
      <c r="AF2" s="59">
        <f>K2</f>
        <v>0</v>
      </c>
      <c r="AG2" s="58">
        <f>O2</f>
        <v>0</v>
      </c>
      <c r="AQ2" s="60"/>
      <c r="AR2" s="61">
        <f>$B$42</f>
        <v>0.2</v>
      </c>
      <c r="AS2" s="61">
        <f>$C$42</f>
        <v>0.44</v>
      </c>
      <c r="AT2" s="61">
        <f>$D$42</f>
        <v>0.15</v>
      </c>
      <c r="AU2" s="61">
        <f>$E$42</f>
        <v>0.15</v>
      </c>
      <c r="AV2" s="61">
        <f>$F$42</f>
        <v>0.06</v>
      </c>
      <c r="BA2" s="61">
        <f>$B$42</f>
        <v>0.2</v>
      </c>
      <c r="BB2" s="61">
        <f>$C$42</f>
        <v>0.44</v>
      </c>
      <c r="BC2" s="61">
        <f>$D$42</f>
        <v>0.15</v>
      </c>
      <c r="BD2" s="61">
        <f>$E$42</f>
        <v>0.15</v>
      </c>
      <c r="BE2" s="61">
        <f>$F$42</f>
        <v>0.06</v>
      </c>
      <c r="BJ2" s="61">
        <f>$B$42</f>
        <v>0.2</v>
      </c>
      <c r="BK2" s="61">
        <f>$C$42</f>
        <v>0.44</v>
      </c>
      <c r="BL2" s="61">
        <f>$D$42</f>
        <v>0.15</v>
      </c>
      <c r="BM2" s="61">
        <f>$E$42</f>
        <v>0.15</v>
      </c>
      <c r="BN2" s="61">
        <f>$F$42</f>
        <v>0.06</v>
      </c>
    </row>
    <row r="3" spans="1:68" ht="15" x14ac:dyDescent="0.25">
      <c r="A3" s="62"/>
      <c r="B3" s="64" t="s">
        <v>86</v>
      </c>
      <c r="C3" s="217" t="s">
        <v>77</v>
      </c>
      <c r="D3" s="217"/>
      <c r="E3" s="217"/>
      <c r="F3" s="65"/>
      <c r="G3" s="62"/>
      <c r="H3" s="62"/>
      <c r="I3" s="62"/>
      <c r="J3" s="63"/>
      <c r="K3" s="62"/>
      <c r="L3"/>
      <c r="M3"/>
      <c r="N3"/>
      <c r="O3"/>
      <c r="T3" s="66" t="s">
        <v>79</v>
      </c>
      <c r="U3" s="66">
        <v>850</v>
      </c>
      <c r="V3" s="62"/>
      <c r="W3" s="62"/>
      <c r="Y3" s="66" t="s">
        <v>79</v>
      </c>
      <c r="Z3" s="66">
        <v>1350</v>
      </c>
      <c r="AA3" s="62"/>
      <c r="AB3" s="62"/>
      <c r="AC3" s="62"/>
      <c r="AD3" s="66" t="s">
        <v>79</v>
      </c>
      <c r="AE3" s="66">
        <v>2184</v>
      </c>
      <c r="AF3" s="62"/>
      <c r="AG3" s="62"/>
      <c r="AQ3" s="55"/>
      <c r="AR3" s="67" t="s">
        <v>80</v>
      </c>
      <c r="AS3" s="67" t="s">
        <v>81</v>
      </c>
      <c r="AT3" s="67" t="s">
        <v>82</v>
      </c>
      <c r="AU3" s="67" t="s">
        <v>83</v>
      </c>
      <c r="AV3" s="67" t="s">
        <v>84</v>
      </c>
      <c r="AW3" s="67" t="s">
        <v>0</v>
      </c>
      <c r="AX3" s="54" t="s">
        <v>85</v>
      </c>
      <c r="BA3" s="129" t="s">
        <v>80</v>
      </c>
      <c r="BB3" s="129" t="s">
        <v>81</v>
      </c>
      <c r="BC3" s="129" t="s">
        <v>82</v>
      </c>
      <c r="BD3" s="129" t="s">
        <v>83</v>
      </c>
      <c r="BE3" s="129" t="s">
        <v>84</v>
      </c>
      <c r="BF3" s="129" t="s">
        <v>0</v>
      </c>
      <c r="BG3" s="54" t="s">
        <v>85</v>
      </c>
      <c r="BJ3" s="67" t="s">
        <v>80</v>
      </c>
      <c r="BK3" s="67" t="s">
        <v>81</v>
      </c>
      <c r="BL3" s="67" t="s">
        <v>82</v>
      </c>
      <c r="BM3" s="67" t="s">
        <v>83</v>
      </c>
      <c r="BN3" s="67" t="s">
        <v>84</v>
      </c>
      <c r="BO3" s="67" t="s">
        <v>0</v>
      </c>
      <c r="BP3" s="54" t="s">
        <v>85</v>
      </c>
    </row>
    <row r="4" spans="1:68" ht="15" x14ac:dyDescent="0.25">
      <c r="A4" s="68" t="s">
        <v>86</v>
      </c>
      <c r="B4" s="68" t="s">
        <v>87</v>
      </c>
      <c r="C4" s="69" t="s">
        <v>88</v>
      </c>
      <c r="D4" s="69" t="s">
        <v>144</v>
      </c>
      <c r="E4" s="69" t="s">
        <v>89</v>
      </c>
      <c r="F4" s="62" t="s">
        <v>0</v>
      </c>
      <c r="G4" s="62" t="s">
        <v>0</v>
      </c>
      <c r="H4" s="62" t="s">
        <v>0</v>
      </c>
      <c r="I4" s="62" t="s">
        <v>90</v>
      </c>
      <c r="J4" s="62" t="s">
        <v>90</v>
      </c>
      <c r="K4" s="62" t="s">
        <v>90</v>
      </c>
      <c r="L4"/>
      <c r="M4"/>
      <c r="N4"/>
      <c r="O4"/>
      <c r="T4" s="66" t="s">
        <v>86</v>
      </c>
      <c r="U4" s="66" t="s">
        <v>91</v>
      </c>
      <c r="V4" s="66" t="s">
        <v>90</v>
      </c>
      <c r="W4" s="70" t="s">
        <v>78</v>
      </c>
      <c r="Y4" s="66" t="s">
        <v>86</v>
      </c>
      <c r="Z4" s="66" t="s">
        <v>91</v>
      </c>
      <c r="AA4" s="66" t="s">
        <v>90</v>
      </c>
      <c r="AB4" s="70" t="s">
        <v>78</v>
      </c>
      <c r="AC4" s="70"/>
      <c r="AD4" s="66" t="s">
        <v>86</v>
      </c>
      <c r="AE4" s="66" t="s">
        <v>91</v>
      </c>
      <c r="AF4" s="66" t="s">
        <v>90</v>
      </c>
      <c r="AG4" s="70" t="s">
        <v>78</v>
      </c>
      <c r="AQ4" s="55"/>
      <c r="AR4" s="71">
        <v>33954.526809258721</v>
      </c>
      <c r="AS4" s="71">
        <v>38824.142982713158</v>
      </c>
      <c r="AT4" s="71">
        <v>42416.730149428651</v>
      </c>
      <c r="AU4" s="71">
        <v>50701.55288602403</v>
      </c>
      <c r="AV4" s="71">
        <v>58334.573688836805</v>
      </c>
      <c r="AW4" s="72">
        <v>1200</v>
      </c>
      <c r="AX4" s="73">
        <f t="shared" ref="AX4:AX35" si="0">(AR$2*AR4)+(AS$2*AS4)+(AT$2*AT4)+(AU$2*AU4)+(AV$2*AV4)</f>
        <v>41341.345150893641</v>
      </c>
      <c r="BA4" s="127">
        <v>27892.587166715501</v>
      </c>
      <c r="BB4" s="127">
        <v>31897.656021095812</v>
      </c>
      <c r="BC4" s="127">
        <v>34142.777615001469</v>
      </c>
      <c r="BD4" s="127">
        <v>42645.180193378263</v>
      </c>
      <c r="BE4" s="127">
        <v>49884.529739232348</v>
      </c>
      <c r="BF4" s="128">
        <v>1165</v>
      </c>
      <c r="BG4" s="73">
        <f t="shared" ref="BG4:BG35" si="1">(BA$2*BA4)+(BB$2*BB4)+(BC$2*BC4)+(BD$2*BD4)+(BE$2*BE4)</f>
        <v>34124.75153823616</v>
      </c>
      <c r="BJ4" s="71">
        <v>29207.64723117492</v>
      </c>
      <c r="BK4" s="71">
        <v>33517.755640199241</v>
      </c>
      <c r="BL4" s="71">
        <v>36039.906240843833</v>
      </c>
      <c r="BM4" s="71">
        <v>44786.551421037213</v>
      </c>
      <c r="BN4" s="71">
        <v>52211.573395839441</v>
      </c>
      <c r="BO4" s="72">
        <v>1200</v>
      </c>
      <c r="BP4" s="73">
        <f t="shared" ref="BP4:BP35" si="2">(BJ$2*BJ4)+(BK$2*BK4)+(BL$2*BL4)+(BM$2*BM4)+(BN$2*BN4)</f>
        <v>35846.004980955171</v>
      </c>
    </row>
    <row r="5" spans="1:68" x14ac:dyDescent="0.2">
      <c r="A5" s="74" t="s">
        <v>92</v>
      </c>
      <c r="B5" s="75">
        <f>B39</f>
        <v>0.1543716268311488</v>
      </c>
      <c r="C5" s="76">
        <v>810</v>
      </c>
      <c r="D5" s="76">
        <v>2122</v>
      </c>
      <c r="E5" s="76">
        <v>1521</v>
      </c>
      <c r="F5" s="77">
        <f t="shared" ref="F5:F33" si="3">B5*C5</f>
        <v>125.04101773323053</v>
      </c>
      <c r="G5" s="77">
        <f t="shared" ref="G5:G33" si="4">B5*D5</f>
        <v>327.57659213569775</v>
      </c>
      <c r="H5" s="77">
        <f t="shared" ref="H5:H33" si="5">B5*E5</f>
        <v>234.79924441017732</v>
      </c>
      <c r="I5" s="77">
        <v>0</v>
      </c>
      <c r="J5" s="77">
        <v>0</v>
      </c>
      <c r="K5" s="77">
        <v>0</v>
      </c>
      <c r="L5"/>
      <c r="M5"/>
      <c r="N5"/>
      <c r="O5"/>
      <c r="S5" s="58"/>
      <c r="T5" s="56" t="s">
        <v>92</v>
      </c>
      <c r="U5" s="57">
        <v>0</v>
      </c>
      <c r="V5" s="57">
        <v>0</v>
      </c>
      <c r="W5" s="58">
        <v>0</v>
      </c>
      <c r="Y5" s="56" t="s">
        <v>92</v>
      </c>
      <c r="Z5" s="57">
        <v>0</v>
      </c>
      <c r="AA5" s="57">
        <v>0</v>
      </c>
      <c r="AB5" s="58">
        <v>0</v>
      </c>
      <c r="AC5" s="58"/>
      <c r="AD5" s="56" t="s">
        <v>92</v>
      </c>
      <c r="AE5" s="57">
        <v>0</v>
      </c>
      <c r="AF5" s="59">
        <v>0</v>
      </c>
      <c r="AG5" s="58">
        <v>0</v>
      </c>
      <c r="AQ5" s="55"/>
      <c r="AR5" s="71">
        <v>33454.497509522414</v>
      </c>
      <c r="AS5" s="71">
        <v>38256.108995019051</v>
      </c>
      <c r="AT5" s="71">
        <v>41807.295634339287</v>
      </c>
      <c r="AU5" s="71">
        <v>49986.199824201583</v>
      </c>
      <c r="AV5" s="71">
        <v>57520.714913565782</v>
      </c>
      <c r="AW5" s="72">
        <v>1185</v>
      </c>
      <c r="AX5" s="73">
        <f t="shared" si="0"/>
        <v>40743.854673307942</v>
      </c>
      <c r="BA5" s="18">
        <v>27413.858775271023</v>
      </c>
      <c r="BB5" s="18">
        <v>31348.608262525639</v>
      </c>
      <c r="BC5" s="18">
        <v>33561.08995019045</v>
      </c>
      <c r="BD5" s="18">
        <v>41956.108995019051</v>
      </c>
      <c r="BE5" s="18">
        <v>49082.068561382956</v>
      </c>
      <c r="BF5" s="1">
        <v>1150</v>
      </c>
      <c r="BG5" s="73">
        <f t="shared" si="1"/>
        <v>33548.663346029884</v>
      </c>
      <c r="BJ5" s="71">
        <v>28727.27805449751</v>
      </c>
      <c r="BK5" s="71">
        <v>32961.382947553473</v>
      </c>
      <c r="BL5" s="71">
        <v>35445.824787576916</v>
      </c>
      <c r="BM5" s="71">
        <v>44089.56929387636</v>
      </c>
      <c r="BN5" s="71">
        <v>51406.944037503665</v>
      </c>
      <c r="BO5" s="72">
        <v>1185</v>
      </c>
      <c r="BP5" s="73">
        <f t="shared" si="2"/>
        <v>35263.189862291241</v>
      </c>
    </row>
    <row r="6" spans="1:68" x14ac:dyDescent="0.2">
      <c r="A6" s="74" t="s">
        <v>93</v>
      </c>
      <c r="B6" s="75">
        <v>9.4E-2</v>
      </c>
      <c r="C6" s="76">
        <v>810</v>
      </c>
      <c r="D6" s="76">
        <v>2122</v>
      </c>
      <c r="E6" s="76">
        <v>1521</v>
      </c>
      <c r="F6" s="77">
        <f t="shared" si="3"/>
        <v>76.14</v>
      </c>
      <c r="G6" s="77">
        <f t="shared" si="4"/>
        <v>199.46799999999999</v>
      </c>
      <c r="H6" s="77">
        <f t="shared" si="5"/>
        <v>142.97399999999999</v>
      </c>
      <c r="I6" s="77">
        <f t="shared" ref="I6:K8" si="6">F5-F6</f>
        <v>48.901017733230532</v>
      </c>
      <c r="J6" s="77">
        <f t="shared" si="6"/>
        <v>128.10859213569776</v>
      </c>
      <c r="K6" s="77">
        <f t="shared" si="6"/>
        <v>91.825244410177334</v>
      </c>
      <c r="L6"/>
      <c r="M6"/>
      <c r="N6"/>
      <c r="O6"/>
      <c r="S6" s="58"/>
      <c r="T6" s="56" t="s">
        <v>94</v>
      </c>
      <c r="U6" s="57">
        <v>0</v>
      </c>
      <c r="V6" s="57">
        <v>0</v>
      </c>
      <c r="W6" s="58">
        <v>0</v>
      </c>
      <c r="Y6" s="56" t="s">
        <v>94</v>
      </c>
      <c r="Z6" s="57">
        <v>0</v>
      </c>
      <c r="AA6" s="57">
        <v>0</v>
      </c>
      <c r="AB6" s="58">
        <v>0</v>
      </c>
      <c r="AC6" s="58"/>
      <c r="AD6" s="56" t="s">
        <v>94</v>
      </c>
      <c r="AE6" s="57">
        <v>0</v>
      </c>
      <c r="AF6" s="59">
        <v>0</v>
      </c>
      <c r="AG6" s="58">
        <v>0</v>
      </c>
      <c r="AQ6" s="55"/>
      <c r="AR6" s="71">
        <v>32954.556108995021</v>
      </c>
      <c r="AS6" s="71">
        <v>37688.33870495166</v>
      </c>
      <c r="AT6" s="71">
        <v>41198.154116612946</v>
      </c>
      <c r="AU6" s="71">
        <v>49271.051860533262</v>
      </c>
      <c r="AV6" s="71">
        <v>56706.826838558452</v>
      </c>
      <c r="AW6" s="72">
        <v>1170</v>
      </c>
      <c r="AX6" s="73">
        <f t="shared" si="0"/>
        <v>40146.570758863178</v>
      </c>
      <c r="BA6" s="18">
        <v>26935.364781716966</v>
      </c>
      <c r="BB6" s="18">
        <v>30799.443305010256</v>
      </c>
      <c r="BC6" s="18">
        <v>32979.050688543808</v>
      </c>
      <c r="BD6" s="18">
        <v>41267.301494286548</v>
      </c>
      <c r="BE6" s="18">
        <v>48279.724582478761</v>
      </c>
      <c r="BF6" s="1">
        <v>1135</v>
      </c>
      <c r="BG6" s="73">
        <f t="shared" si="1"/>
        <v>32972.564312921182</v>
      </c>
      <c r="BJ6" s="71">
        <v>28247.729270436568</v>
      </c>
      <c r="BK6" s="71">
        <v>32406.035745678291</v>
      </c>
      <c r="BL6" s="71">
        <v>34852.417228244951</v>
      </c>
      <c r="BM6" s="71">
        <v>43392.675065924414</v>
      </c>
      <c r="BN6" s="71">
        <v>50602.256079695282</v>
      </c>
      <c r="BO6" s="72">
        <v>1170</v>
      </c>
      <c r="BP6" s="73">
        <f t="shared" si="2"/>
        <v>34681.100791092889</v>
      </c>
    </row>
    <row r="7" spans="1:68" x14ac:dyDescent="0.2">
      <c r="A7" s="74" t="s">
        <v>147</v>
      </c>
      <c r="B7" s="75">
        <v>6.2E-2</v>
      </c>
      <c r="C7" s="76">
        <v>810</v>
      </c>
      <c r="D7" s="76">
        <v>2122</v>
      </c>
      <c r="E7" s="76">
        <v>1521</v>
      </c>
      <c r="F7" s="77">
        <f>B7*C7</f>
        <v>50.22</v>
      </c>
      <c r="G7" s="77">
        <f>B7*D7</f>
        <v>131.56399999999999</v>
      </c>
      <c r="H7" s="77">
        <f>B7*E7</f>
        <v>94.301999999999992</v>
      </c>
      <c r="I7" s="77">
        <f t="shared" si="6"/>
        <v>25.92</v>
      </c>
      <c r="J7" s="77">
        <f t="shared" si="6"/>
        <v>67.903999999999996</v>
      </c>
      <c r="K7" s="77">
        <f t="shared" si="6"/>
        <v>48.671999999999997</v>
      </c>
      <c r="L7"/>
      <c r="M7"/>
      <c r="N7"/>
      <c r="O7"/>
      <c r="S7" s="58"/>
      <c r="T7" s="56" t="s">
        <v>27</v>
      </c>
      <c r="U7" s="57">
        <v>0</v>
      </c>
      <c r="V7" s="57">
        <v>0</v>
      </c>
      <c r="W7" s="58">
        <v>0</v>
      </c>
      <c r="Y7" s="56" t="s">
        <v>27</v>
      </c>
      <c r="Z7" s="57">
        <v>0</v>
      </c>
      <c r="AA7" s="57">
        <v>0</v>
      </c>
      <c r="AB7" s="58">
        <v>0</v>
      </c>
      <c r="AC7" s="58"/>
      <c r="AD7" s="56" t="s">
        <v>27</v>
      </c>
      <c r="AE7" s="57">
        <v>0</v>
      </c>
      <c r="AF7" s="59">
        <v>0</v>
      </c>
      <c r="AG7" s="58">
        <v>0</v>
      </c>
      <c r="AQ7" s="55"/>
      <c r="AR7" s="71">
        <v>32454.790506885438</v>
      </c>
      <c r="AS7" s="71">
        <v>37120.656314093176</v>
      </c>
      <c r="AT7" s="71">
        <v>40589.481394667448</v>
      </c>
      <c r="AU7" s="71">
        <v>48555.874597128633</v>
      </c>
      <c r="AV7" s="71">
        <v>55893.085262232642</v>
      </c>
      <c r="AW7" s="72">
        <v>1155</v>
      </c>
      <c r="AX7" s="73">
        <f t="shared" si="0"/>
        <v>39549.435394081454</v>
      </c>
      <c r="BA7" s="18">
        <v>26457.779079988279</v>
      </c>
      <c r="BB7" s="18">
        <v>30250.747143275712</v>
      </c>
      <c r="BC7" s="18">
        <v>32397.949018458836</v>
      </c>
      <c r="BD7" s="18">
        <v>40578.28889539995</v>
      </c>
      <c r="BE7" s="18">
        <v>47477.204805156762</v>
      </c>
      <c r="BF7" s="1">
        <v>1120</v>
      </c>
      <c r="BG7" s="73">
        <f t="shared" si="1"/>
        <v>32396.952534427193</v>
      </c>
      <c r="BJ7" s="71">
        <v>27768.825080574275</v>
      </c>
      <c r="BK7" s="71">
        <v>31851.333138001763</v>
      </c>
      <c r="BL7" s="71">
        <v>34259.85936126575</v>
      </c>
      <c r="BM7" s="71">
        <v>42695.95663639027</v>
      </c>
      <c r="BN7" s="71">
        <v>49797.831819513623</v>
      </c>
      <c r="BO7" s="72">
        <v>1155</v>
      </c>
      <c r="BP7" s="73">
        <f t="shared" si="2"/>
        <v>34099.593905654852</v>
      </c>
    </row>
    <row r="8" spans="1:68" x14ac:dyDescent="0.2">
      <c r="A8" s="74" t="s">
        <v>143</v>
      </c>
      <c r="B8" s="75">
        <v>0.06</v>
      </c>
      <c r="C8" s="76">
        <v>810</v>
      </c>
      <c r="D8" s="76">
        <v>2122</v>
      </c>
      <c r="E8" s="76">
        <v>1521</v>
      </c>
      <c r="F8" s="77">
        <f>B8*C8</f>
        <v>48.6</v>
      </c>
      <c r="G8" s="77">
        <f>B8*D8</f>
        <v>127.32</v>
      </c>
      <c r="H8" s="77">
        <f>B8*E8</f>
        <v>91.259999999999991</v>
      </c>
      <c r="I8" s="77">
        <f t="shared" si="6"/>
        <v>1.6199999999999974</v>
      </c>
      <c r="J8" s="77">
        <f t="shared" si="6"/>
        <v>4.2439999999999998</v>
      </c>
      <c r="K8" s="77">
        <f t="shared" si="6"/>
        <v>3.0420000000000016</v>
      </c>
      <c r="L8"/>
      <c r="M8"/>
      <c r="N8"/>
      <c r="O8"/>
      <c r="S8" s="58"/>
      <c r="T8" s="56" t="s">
        <v>95</v>
      </c>
      <c r="U8" s="57">
        <v>0</v>
      </c>
      <c r="V8" s="57">
        <v>0</v>
      </c>
      <c r="W8" s="58">
        <v>0</v>
      </c>
      <c r="Y8" s="56" t="s">
        <v>95</v>
      </c>
      <c r="Z8" s="57">
        <v>0</v>
      </c>
      <c r="AA8" s="57">
        <v>0</v>
      </c>
      <c r="AB8" s="58">
        <v>0</v>
      </c>
      <c r="AC8" s="58"/>
      <c r="AD8" s="56" t="s">
        <v>95</v>
      </c>
      <c r="AE8" s="57">
        <v>0</v>
      </c>
      <c r="AF8" s="59">
        <v>0</v>
      </c>
      <c r="AG8" s="58">
        <v>0</v>
      </c>
      <c r="AQ8" s="55"/>
      <c r="AR8" s="71">
        <v>31954.995605039556</v>
      </c>
      <c r="AS8" s="71">
        <v>36553.061822443604</v>
      </c>
      <c r="AT8" s="71">
        <v>39980.955171403461</v>
      </c>
      <c r="AU8" s="71">
        <v>47840.580134778786</v>
      </c>
      <c r="AV8" s="71">
        <v>55079.578083797249</v>
      </c>
      <c r="AW8" s="72">
        <v>1140</v>
      </c>
      <c r="AX8" s="73">
        <f t="shared" si="0"/>
        <v>38952.351303838266</v>
      </c>
      <c r="BA8" s="18">
        <v>25980.164078523296</v>
      </c>
      <c r="BB8" s="18">
        <v>29702.490477585707</v>
      </c>
      <c r="BC8" s="18">
        <v>31817.843539408146</v>
      </c>
      <c r="BD8" s="18">
        <v>39890.741283328454</v>
      </c>
      <c r="BE8" s="18">
        <v>46675.18312335189</v>
      </c>
      <c r="BF8" s="1">
        <v>1105</v>
      </c>
      <c r="BG8" s="73">
        <f t="shared" si="1"/>
        <v>31821.927336653978</v>
      </c>
      <c r="BJ8" s="71">
        <v>27290.272487547612</v>
      </c>
      <c r="BK8" s="71">
        <v>31296.747729270439</v>
      </c>
      <c r="BL8" s="71">
        <v>33668.209786111925</v>
      </c>
      <c r="BM8" s="71">
        <v>41999.882801054795</v>
      </c>
      <c r="BN8" s="71">
        <v>48993.847055376507</v>
      </c>
      <c r="BO8" s="72">
        <v>1140</v>
      </c>
      <c r="BP8" s="73">
        <f t="shared" si="2"/>
        <v>33518.468209786115</v>
      </c>
    </row>
    <row r="9" spans="1:68" x14ac:dyDescent="0.2">
      <c r="A9" s="74" t="s">
        <v>94</v>
      </c>
      <c r="B9" s="75">
        <f>B37</f>
        <v>0.11828793774319066</v>
      </c>
      <c r="C9" s="76">
        <v>850</v>
      </c>
      <c r="D9" s="76">
        <v>506</v>
      </c>
      <c r="E9" s="76">
        <v>728</v>
      </c>
      <c r="F9" s="77">
        <f t="shared" si="3"/>
        <v>100.54474708171206</v>
      </c>
      <c r="G9" s="77">
        <f t="shared" si="4"/>
        <v>59.853696498054475</v>
      </c>
      <c r="H9" s="77">
        <f t="shared" si="5"/>
        <v>86.113618677042794</v>
      </c>
      <c r="I9" s="77">
        <v>0</v>
      </c>
      <c r="J9" s="77">
        <v>0</v>
      </c>
      <c r="K9" s="77">
        <v>0</v>
      </c>
      <c r="L9"/>
      <c r="M9"/>
      <c r="N9"/>
      <c r="O9"/>
      <c r="S9" s="58"/>
      <c r="T9" s="56" t="s">
        <v>96</v>
      </c>
      <c r="U9" s="57">
        <v>0</v>
      </c>
      <c r="V9" s="57">
        <v>0</v>
      </c>
      <c r="W9" s="58">
        <v>0</v>
      </c>
      <c r="Y9" s="56" t="s">
        <v>96</v>
      </c>
      <c r="Z9" s="57">
        <v>0</v>
      </c>
      <c r="AA9" s="57">
        <v>0</v>
      </c>
      <c r="AB9" s="58">
        <v>0</v>
      </c>
      <c r="AC9" s="58"/>
      <c r="AD9" s="56" t="s">
        <v>96</v>
      </c>
      <c r="AE9" s="57">
        <v>0</v>
      </c>
      <c r="AF9" s="59">
        <v>0</v>
      </c>
      <c r="AG9" s="58">
        <v>0</v>
      </c>
      <c r="AQ9" s="55"/>
      <c r="AR9" s="71">
        <v>31455.25930266628</v>
      </c>
      <c r="AS9" s="71">
        <v>35985.438031057725</v>
      </c>
      <c r="AT9" s="71">
        <v>39372.458247875773</v>
      </c>
      <c r="AU9" s="71">
        <v>47125.314972165259</v>
      </c>
      <c r="AV9" s="71">
        <v>54266.158804570761</v>
      </c>
      <c r="AW9" s="72">
        <v>1125</v>
      </c>
      <c r="AX9" s="73">
        <f t="shared" si="0"/>
        <v>38355.280105479054</v>
      </c>
      <c r="BA9" s="18">
        <v>25502.226779958983</v>
      </c>
      <c r="BB9" s="18">
        <v>29155.493700556697</v>
      </c>
      <c r="BC9" s="18">
        <v>31239.466744799298</v>
      </c>
      <c r="BD9" s="18">
        <v>39204.717257544689</v>
      </c>
      <c r="BE9" s="18">
        <v>45873.981834163496</v>
      </c>
      <c r="BF9" s="1">
        <v>1090</v>
      </c>
      <c r="BG9" s="73">
        <f t="shared" si="1"/>
        <v>31247.929094638152</v>
      </c>
      <c r="BJ9" s="71">
        <v>26813.126281863464</v>
      </c>
      <c r="BK9" s="71">
        <v>30743.92030471726</v>
      </c>
      <c r="BL9" s="71">
        <v>33077.64430120129</v>
      </c>
      <c r="BM9" s="71">
        <v>41304.189862291249</v>
      </c>
      <c r="BN9" s="71">
        <v>48190.155288602407</v>
      </c>
      <c r="BO9" s="72">
        <v>1125</v>
      </c>
      <c r="BP9" s="73">
        <f t="shared" si="2"/>
        <v>32938.634632288311</v>
      </c>
    </row>
    <row r="10" spans="1:68" x14ac:dyDescent="0.2">
      <c r="A10" s="74" t="s">
        <v>27</v>
      </c>
      <c r="B10" s="75">
        <v>0.08</v>
      </c>
      <c r="C10" s="76">
        <v>850</v>
      </c>
      <c r="D10" s="76">
        <v>506</v>
      </c>
      <c r="E10" s="76">
        <v>728</v>
      </c>
      <c r="F10" s="77">
        <f t="shared" si="3"/>
        <v>68</v>
      </c>
      <c r="G10" s="77">
        <f t="shared" si="4"/>
        <v>40.480000000000004</v>
      </c>
      <c r="H10" s="77">
        <f t="shared" si="5"/>
        <v>58.24</v>
      </c>
      <c r="I10" s="77">
        <v>0</v>
      </c>
      <c r="J10" s="77">
        <v>0</v>
      </c>
      <c r="K10" s="77">
        <v>0</v>
      </c>
      <c r="L10"/>
      <c r="M10"/>
      <c r="N10"/>
      <c r="O10"/>
      <c r="S10" s="58"/>
      <c r="T10" s="56" t="s">
        <v>28</v>
      </c>
      <c r="U10" s="57">
        <v>0</v>
      </c>
      <c r="V10" s="57">
        <v>0</v>
      </c>
      <c r="W10" s="58">
        <v>0</v>
      </c>
      <c r="Y10" s="56" t="s">
        <v>28</v>
      </c>
      <c r="Z10" s="57">
        <v>0</v>
      </c>
      <c r="AA10" s="57">
        <v>0</v>
      </c>
      <c r="AB10" s="58">
        <v>0</v>
      </c>
      <c r="AC10" s="58"/>
      <c r="AD10" s="56" t="s">
        <v>28</v>
      </c>
      <c r="AE10" s="57">
        <v>0</v>
      </c>
      <c r="AF10" s="59">
        <v>0</v>
      </c>
      <c r="AG10" s="58">
        <v>0</v>
      </c>
      <c r="AQ10" s="55"/>
      <c r="AR10" s="71">
        <v>30955.581599765603</v>
      </c>
      <c r="AS10" s="71">
        <v>35417.843539408146</v>
      </c>
      <c r="AT10" s="71">
        <v>38764.371520656314</v>
      </c>
      <c r="AU10" s="71">
        <v>46410.137708760623</v>
      </c>
      <c r="AV10" s="71">
        <v>53452.886024025793</v>
      </c>
      <c r="AW10" s="72">
        <v>1110</v>
      </c>
      <c r="AX10" s="73">
        <f t="shared" si="0"/>
        <v>37758.317023146796</v>
      </c>
      <c r="BA10" s="18">
        <v>25025.637269264578</v>
      </c>
      <c r="BB10" s="18">
        <v>28609.698212716085</v>
      </c>
      <c r="BC10" s="18">
        <v>30661.148549663056</v>
      </c>
      <c r="BD10" s="18">
        <v>38519.777322004105</v>
      </c>
      <c r="BE10" s="18">
        <v>45074.216232053914</v>
      </c>
      <c r="BF10" s="1">
        <v>1075</v>
      </c>
      <c r="BG10" s="73">
        <f t="shared" si="1"/>
        <v>30674.986522121304</v>
      </c>
      <c r="BJ10" s="71">
        <v>26335.774978025198</v>
      </c>
      <c r="BK10" s="71">
        <v>30192.147670670965</v>
      </c>
      <c r="BL10" s="71">
        <v>32488.309405215357</v>
      </c>
      <c r="BM10" s="71">
        <v>40608.819220627018</v>
      </c>
      <c r="BN10" s="71">
        <v>47386.961617345449</v>
      </c>
      <c r="BO10" s="72">
        <v>1110</v>
      </c>
      <c r="BP10" s="73">
        <f t="shared" si="2"/>
        <v>32359.486961617349</v>
      </c>
    </row>
    <row r="11" spans="1:68" x14ac:dyDescent="0.2">
      <c r="A11" s="74" t="s">
        <v>35</v>
      </c>
      <c r="B11" s="75">
        <v>0.06</v>
      </c>
      <c r="C11" s="76">
        <v>850</v>
      </c>
      <c r="D11" s="76">
        <v>506</v>
      </c>
      <c r="E11" s="76">
        <v>728</v>
      </c>
      <c r="F11" s="77">
        <f t="shared" si="3"/>
        <v>51</v>
      </c>
      <c r="G11" s="77">
        <f t="shared" si="4"/>
        <v>30.36</v>
      </c>
      <c r="H11" s="77">
        <f t="shared" si="5"/>
        <v>43.68</v>
      </c>
      <c r="I11" s="77">
        <f>F9-F11</f>
        <v>49.54474708171206</v>
      </c>
      <c r="J11" s="77">
        <f>G9-G11</f>
        <v>29.493696498054476</v>
      </c>
      <c r="K11" s="77">
        <f>H9-H11</f>
        <v>42.433618677042794</v>
      </c>
      <c r="L11"/>
      <c r="M11"/>
      <c r="N11"/>
      <c r="O11"/>
      <c r="S11" s="58"/>
      <c r="T11" s="56" t="s">
        <v>29</v>
      </c>
      <c r="U11" s="57">
        <v>0</v>
      </c>
      <c r="V11" s="57">
        <v>0</v>
      </c>
      <c r="W11" s="58">
        <v>0</v>
      </c>
      <c r="Y11" s="56" t="s">
        <v>29</v>
      </c>
      <c r="Z11" s="57">
        <v>0</v>
      </c>
      <c r="AA11" s="57">
        <v>0</v>
      </c>
      <c r="AB11" s="58">
        <v>0</v>
      </c>
      <c r="AC11" s="58"/>
      <c r="AD11" s="56" t="s">
        <v>29</v>
      </c>
      <c r="AE11" s="57">
        <v>0</v>
      </c>
      <c r="AF11" s="59">
        <v>0</v>
      </c>
      <c r="AG11" s="58">
        <v>0</v>
      </c>
      <c r="AQ11" s="55"/>
      <c r="AR11" s="71">
        <v>30456.021095810138</v>
      </c>
      <c r="AS11" s="71">
        <v>34850.33694696748</v>
      </c>
      <c r="AT11" s="71">
        <v>38156.401992382074</v>
      </c>
      <c r="AU11" s="71">
        <v>45695.165543510113</v>
      </c>
      <c r="AV11" s="71">
        <v>52639.818341634935</v>
      </c>
      <c r="AW11" s="72">
        <v>1095</v>
      </c>
      <c r="AX11" s="73">
        <f t="shared" si="0"/>
        <v>37161.476706709647</v>
      </c>
      <c r="BA11" s="18">
        <v>24549.545854087315</v>
      </c>
      <c r="BB11" s="18">
        <v>28064.928215646061</v>
      </c>
      <c r="BC11" s="18">
        <v>30083.152651626137</v>
      </c>
      <c r="BD11" s="18">
        <v>37835.511280398481</v>
      </c>
      <c r="BE11" s="18">
        <v>44275.124523879291</v>
      </c>
      <c r="BF11" s="1">
        <v>1060</v>
      </c>
      <c r="BG11" s="73">
        <f t="shared" si="1"/>
        <v>30102.784646938177</v>
      </c>
      <c r="BJ11" s="71">
        <v>25858.130676823912</v>
      </c>
      <c r="BK11" s="71">
        <v>29641.019630823324</v>
      </c>
      <c r="BL11" s="71">
        <v>31899.882801054791</v>
      </c>
      <c r="BM11" s="71">
        <v>39913.975974216235</v>
      </c>
      <c r="BN11" s="71">
        <v>46584.441840023443</v>
      </c>
      <c r="BO11" s="72">
        <v>1095</v>
      </c>
      <c r="BP11" s="73">
        <f t="shared" si="2"/>
        <v>31780.820099619104</v>
      </c>
    </row>
    <row r="12" spans="1:68" x14ac:dyDescent="0.2">
      <c r="A12" s="74" t="s">
        <v>95</v>
      </c>
      <c r="B12" s="75">
        <v>4.2999999999999997E-2</v>
      </c>
      <c r="C12" s="76">
        <v>850</v>
      </c>
      <c r="D12" s="76">
        <v>506</v>
      </c>
      <c r="E12" s="76">
        <v>728</v>
      </c>
      <c r="F12" s="77">
        <f t="shared" si="3"/>
        <v>36.549999999999997</v>
      </c>
      <c r="G12" s="77">
        <f t="shared" si="4"/>
        <v>21.757999999999999</v>
      </c>
      <c r="H12" s="77">
        <f t="shared" si="5"/>
        <v>31.303999999999998</v>
      </c>
      <c r="I12" s="77">
        <v>0</v>
      </c>
      <c r="J12" s="77">
        <v>0</v>
      </c>
      <c r="K12" s="77">
        <v>0</v>
      </c>
      <c r="L12"/>
      <c r="M12"/>
      <c r="N12"/>
      <c r="O12"/>
      <c r="S12" s="58"/>
      <c r="T12" s="56" t="s">
        <v>37</v>
      </c>
      <c r="U12" s="57">
        <v>0</v>
      </c>
      <c r="V12" s="57">
        <v>0</v>
      </c>
      <c r="W12" s="58">
        <v>0</v>
      </c>
      <c r="Y12" s="56" t="s">
        <v>37</v>
      </c>
      <c r="Z12" s="57">
        <v>0</v>
      </c>
      <c r="AA12" s="57">
        <v>0</v>
      </c>
      <c r="AB12" s="58">
        <v>0</v>
      </c>
      <c r="AC12" s="58"/>
      <c r="AD12" s="56" t="s">
        <v>37</v>
      </c>
      <c r="AE12" s="57">
        <v>0</v>
      </c>
      <c r="AF12" s="59">
        <v>0</v>
      </c>
      <c r="AG12" s="58">
        <v>0</v>
      </c>
      <c r="AQ12" s="55"/>
      <c r="AR12" s="71">
        <v>29956.782888954</v>
      </c>
      <c r="AS12" s="71">
        <v>34283.006152944625</v>
      </c>
      <c r="AT12" s="71">
        <v>37548.315265162615</v>
      </c>
      <c r="AU12" s="71">
        <v>44980.42777615002</v>
      </c>
      <c r="AV12" s="71">
        <v>51826.838558452975</v>
      </c>
      <c r="AW12" s="72">
        <v>1080</v>
      </c>
      <c r="AX12" s="73">
        <f t="shared" si="0"/>
        <v>36564.801054790507</v>
      </c>
      <c r="BA12" s="18">
        <v>24073.806035745678</v>
      </c>
      <c r="BB12" s="18">
        <v>27520.744213302081</v>
      </c>
      <c r="BC12" s="18">
        <v>29505.27395253443</v>
      </c>
      <c r="BD12" s="18">
        <v>37151.655435101085</v>
      </c>
      <c r="BE12" s="18">
        <v>43476.472311749203</v>
      </c>
      <c r="BF12" s="1">
        <v>1045</v>
      </c>
      <c r="BG12" s="73">
        <f t="shared" si="1"/>
        <v>29531.01640785233</v>
      </c>
      <c r="BJ12" s="71">
        <v>25380.515675358922</v>
      </c>
      <c r="BK12" s="71">
        <v>29089.950190448286</v>
      </c>
      <c r="BL12" s="71">
        <v>31312.891883973043</v>
      </c>
      <c r="BM12" s="71">
        <v>39220.539115147971</v>
      </c>
      <c r="BN12" s="71">
        <v>45783.064752417231</v>
      </c>
      <c r="BO12" s="72">
        <v>1080</v>
      </c>
      <c r="BP12" s="73">
        <f t="shared" si="2"/>
        <v>31202.679753882214</v>
      </c>
    </row>
    <row r="13" spans="1:68" x14ac:dyDescent="0.2">
      <c r="A13" s="74" t="s">
        <v>38</v>
      </c>
      <c r="B13" s="75">
        <v>3.9E-2</v>
      </c>
      <c r="C13" s="76">
        <v>850</v>
      </c>
      <c r="D13" s="76">
        <v>506</v>
      </c>
      <c r="E13" s="76">
        <v>728</v>
      </c>
      <c r="F13" s="77">
        <f t="shared" si="3"/>
        <v>33.15</v>
      </c>
      <c r="G13" s="77">
        <f t="shared" si="4"/>
        <v>19.733999999999998</v>
      </c>
      <c r="H13" s="77">
        <f t="shared" si="5"/>
        <v>28.391999999999999</v>
      </c>
      <c r="I13" s="77">
        <f>F11-F13</f>
        <v>17.850000000000001</v>
      </c>
      <c r="J13" s="77">
        <f>G11-G13</f>
        <v>10.626000000000001</v>
      </c>
      <c r="K13" s="77">
        <f>H11-H13</f>
        <v>15.288</v>
      </c>
      <c r="L13"/>
      <c r="M13"/>
      <c r="N13"/>
      <c r="O13"/>
      <c r="S13" s="58"/>
      <c r="T13" s="56" t="s">
        <v>30</v>
      </c>
      <c r="U13" s="57">
        <v>0</v>
      </c>
      <c r="V13" s="57">
        <v>0</v>
      </c>
      <c r="W13" s="58">
        <v>0</v>
      </c>
      <c r="Y13" s="56" t="s">
        <v>30</v>
      </c>
      <c r="Z13" s="57">
        <v>0</v>
      </c>
      <c r="AA13" s="57">
        <v>0</v>
      </c>
      <c r="AB13" s="58">
        <v>0</v>
      </c>
      <c r="AC13" s="58"/>
      <c r="AD13" s="56" t="s">
        <v>30</v>
      </c>
      <c r="AE13" s="57">
        <v>0</v>
      </c>
      <c r="AF13" s="59">
        <v>0</v>
      </c>
      <c r="AG13" s="58">
        <v>0</v>
      </c>
      <c r="AQ13" s="55"/>
      <c r="AR13" s="71">
        <v>29457.632581306767</v>
      </c>
      <c r="AS13" s="71">
        <v>33715.733958394376</v>
      </c>
      <c r="AT13" s="71">
        <v>36940.287137415762</v>
      </c>
      <c r="AU13" s="71">
        <v>44266.246703779674</v>
      </c>
      <c r="AV13" s="71">
        <v>51014.063873425141</v>
      </c>
      <c r="AW13" s="72">
        <v>1065</v>
      </c>
      <c r="AX13" s="73">
        <f t="shared" si="0"/>
        <v>35968.273366539703</v>
      </c>
      <c r="BA13" s="18">
        <v>23599.38470553765</v>
      </c>
      <c r="BB13" s="18">
        <v>26977.673600937593</v>
      </c>
      <c r="BC13" s="18">
        <v>28927.746850278349</v>
      </c>
      <c r="BD13" s="18">
        <v>36467.623791385879</v>
      </c>
      <c r="BE13" s="18">
        <v>42679.079988280115</v>
      </c>
      <c r="BF13" s="1">
        <v>1030</v>
      </c>
      <c r="BG13" s="73">
        <f t="shared" si="1"/>
        <v>28960.103721066513</v>
      </c>
      <c r="BJ13" s="71">
        <v>24902.959273366541</v>
      </c>
      <c r="BK13" s="71">
        <v>28539.642543217113</v>
      </c>
      <c r="BL13" s="71">
        <v>30726.516261353652</v>
      </c>
      <c r="BM13" s="71">
        <v>38528.596542631123</v>
      </c>
      <c r="BN13" s="71">
        <v>44981.834163492531</v>
      </c>
      <c r="BO13" s="72">
        <v>1065</v>
      </c>
      <c r="BP13" s="73">
        <f t="shared" si="2"/>
        <v>30625.211544096106</v>
      </c>
    </row>
    <row r="14" spans="1:68" x14ac:dyDescent="0.2">
      <c r="A14" s="74" t="s">
        <v>97</v>
      </c>
      <c r="B14" s="75">
        <v>3.4000000000000002E-2</v>
      </c>
      <c r="C14" s="76">
        <v>850</v>
      </c>
      <c r="D14" s="76">
        <v>506</v>
      </c>
      <c r="E14" s="76">
        <v>728</v>
      </c>
      <c r="F14" s="77">
        <f t="shared" si="3"/>
        <v>28.900000000000002</v>
      </c>
      <c r="G14" s="77">
        <f t="shared" si="4"/>
        <v>17.204000000000001</v>
      </c>
      <c r="H14" s="77">
        <f t="shared" si="5"/>
        <v>24.752000000000002</v>
      </c>
      <c r="I14" s="77">
        <f>F13-F14</f>
        <v>4.2499999999999964</v>
      </c>
      <c r="J14" s="77">
        <f>G13-G14</f>
        <v>2.5299999999999976</v>
      </c>
      <c r="K14" s="77">
        <f>H13-H14</f>
        <v>3.639999999999997</v>
      </c>
      <c r="L14"/>
      <c r="M14"/>
      <c r="N14"/>
      <c r="O14"/>
      <c r="S14" s="58"/>
      <c r="T14" s="56" t="s">
        <v>98</v>
      </c>
      <c r="U14" s="57">
        <v>0</v>
      </c>
      <c r="V14" s="57">
        <v>0</v>
      </c>
      <c r="W14" s="58">
        <v>0</v>
      </c>
      <c r="Y14" s="56" t="s">
        <v>98</v>
      </c>
      <c r="Z14" s="57">
        <v>0</v>
      </c>
      <c r="AA14" s="57">
        <v>0</v>
      </c>
      <c r="AB14" s="58">
        <v>0</v>
      </c>
      <c r="AC14" s="58"/>
      <c r="AD14" s="56" t="s">
        <v>98</v>
      </c>
      <c r="AE14" s="57">
        <v>0</v>
      </c>
      <c r="AF14" s="59">
        <v>0</v>
      </c>
      <c r="AG14" s="58">
        <v>0</v>
      </c>
      <c r="AQ14" s="55"/>
      <c r="AR14" s="71">
        <v>28958.599472604747</v>
      </c>
      <c r="AS14" s="71">
        <v>33148.725461470851</v>
      </c>
      <c r="AT14" s="71">
        <v>36332.259009668916</v>
      </c>
      <c r="AU14" s="71">
        <v>43552.300029299739</v>
      </c>
      <c r="AV14" s="71">
        <v>50201.201289188401</v>
      </c>
      <c r="AW14" s="72">
        <v>1050</v>
      </c>
      <c r="AX14" s="73">
        <f t="shared" si="0"/>
        <v>35371.915030764729</v>
      </c>
      <c r="BA14" s="18">
        <v>23127.336653970116</v>
      </c>
      <c r="BB14" s="18">
        <v>26434.983885145037</v>
      </c>
      <c r="BC14" s="18">
        <v>28350.219748022271</v>
      </c>
      <c r="BD14" s="18">
        <v>35784.119542924112</v>
      </c>
      <c r="BE14" s="18">
        <v>41884.031643715214</v>
      </c>
      <c r="BF14" s="1">
        <v>1015</v>
      </c>
      <c r="BG14" s="73">
        <f t="shared" si="1"/>
        <v>28390.053032522708</v>
      </c>
      <c r="BJ14" s="71">
        <v>24425.695868737181</v>
      </c>
      <c r="BK14" s="71">
        <v>27989.950190448286</v>
      </c>
      <c r="BL14" s="71">
        <v>30141.224728977442</v>
      </c>
      <c r="BM14" s="71">
        <v>37836.653970114268</v>
      </c>
      <c r="BN14" s="71">
        <v>44180.63287430413</v>
      </c>
      <c r="BO14" s="72">
        <v>1050</v>
      </c>
      <c r="BP14" s="73">
        <f t="shared" si="2"/>
        <v>30048.237034866688</v>
      </c>
    </row>
    <row r="15" spans="1:68" x14ac:dyDescent="0.2">
      <c r="A15" s="74" t="s">
        <v>96</v>
      </c>
      <c r="B15" s="75">
        <f>B38</f>
        <v>0.10596804511278195</v>
      </c>
      <c r="C15" s="76">
        <v>850</v>
      </c>
      <c r="D15" s="76">
        <v>1040</v>
      </c>
      <c r="E15" s="76">
        <v>728</v>
      </c>
      <c r="F15" s="77">
        <f t="shared" si="3"/>
        <v>90.072838345864653</v>
      </c>
      <c r="G15" s="77">
        <f t="shared" si="4"/>
        <v>110.20676691729322</v>
      </c>
      <c r="H15" s="77">
        <f t="shared" si="5"/>
        <v>77.14473684210526</v>
      </c>
      <c r="I15" s="77">
        <v>0</v>
      </c>
      <c r="J15" s="77">
        <v>0</v>
      </c>
      <c r="K15" s="77">
        <v>0</v>
      </c>
      <c r="L15"/>
      <c r="M15"/>
      <c r="N15"/>
      <c r="O15"/>
      <c r="S15" s="58"/>
      <c r="T15" s="56" t="s">
        <v>32</v>
      </c>
      <c r="U15" s="57">
        <v>0</v>
      </c>
      <c r="V15" s="57">
        <v>0</v>
      </c>
      <c r="W15" s="58">
        <v>0</v>
      </c>
      <c r="Y15" s="56" t="s">
        <v>32</v>
      </c>
      <c r="Z15" s="57">
        <v>0</v>
      </c>
      <c r="AA15" s="57">
        <v>0</v>
      </c>
      <c r="AB15" s="58">
        <v>0</v>
      </c>
      <c r="AC15" s="58"/>
      <c r="AD15" s="56" t="s">
        <v>31</v>
      </c>
      <c r="AE15" s="57">
        <v>0</v>
      </c>
      <c r="AF15" s="59">
        <v>0</v>
      </c>
      <c r="AG15" s="58">
        <v>0</v>
      </c>
      <c r="AQ15" s="55"/>
      <c r="AR15" s="71">
        <v>28459.537064166423</v>
      </c>
      <c r="AS15" s="71">
        <v>32581.892762965133</v>
      </c>
      <c r="AT15" s="71">
        <v>35724.260181658363</v>
      </c>
      <c r="AU15" s="71">
        <v>42838.265455610905</v>
      </c>
      <c r="AV15" s="71">
        <v>49388.514503369472</v>
      </c>
      <c r="AW15" s="72">
        <v>1035</v>
      </c>
      <c r="AX15" s="73">
        <f t="shared" si="0"/>
        <v>34775.629944330503</v>
      </c>
      <c r="BA15" s="18">
        <v>22655.698798710811</v>
      </c>
      <c r="BB15" s="18">
        <v>25893.143861705248</v>
      </c>
      <c r="BC15" s="18">
        <v>27774.21623205391</v>
      </c>
      <c r="BD15" s="18">
        <v>35102.10958101377</v>
      </c>
      <c r="BE15" s="18">
        <v>41089.95019044829</v>
      </c>
      <c r="BF15" s="1">
        <v>1000</v>
      </c>
      <c r="BG15" s="73">
        <f t="shared" si="1"/>
        <v>27820.96894227952</v>
      </c>
      <c r="BJ15" s="71">
        <v>23949.018458833871</v>
      </c>
      <c r="BK15" s="71">
        <v>27441.576325813072</v>
      </c>
      <c r="BL15" s="71">
        <v>29557.222384998538</v>
      </c>
      <c r="BM15" s="71">
        <v>37145.326692059774</v>
      </c>
      <c r="BN15" s="71">
        <v>43379.841781423966</v>
      </c>
      <c r="BO15" s="72">
        <v>1035</v>
      </c>
      <c r="BP15" s="73">
        <f t="shared" si="2"/>
        <v>29472.270143568712</v>
      </c>
    </row>
    <row r="16" spans="1:68" x14ac:dyDescent="0.2">
      <c r="A16" s="74" t="s">
        <v>28</v>
      </c>
      <c r="B16" s="75">
        <v>5.5E-2</v>
      </c>
      <c r="C16" s="76">
        <v>850</v>
      </c>
      <c r="D16" s="76">
        <v>1040</v>
      </c>
      <c r="E16" s="76">
        <v>728</v>
      </c>
      <c r="F16" s="77">
        <f t="shared" si="3"/>
        <v>46.75</v>
      </c>
      <c r="G16" s="77">
        <f t="shared" si="4"/>
        <v>57.2</v>
      </c>
      <c r="H16" s="77">
        <f t="shared" si="5"/>
        <v>40.04</v>
      </c>
      <c r="I16" s="77">
        <v>0</v>
      </c>
      <c r="J16" s="77">
        <v>0</v>
      </c>
      <c r="K16" s="77">
        <v>0</v>
      </c>
      <c r="L16"/>
      <c r="M16"/>
      <c r="N16"/>
      <c r="O16"/>
      <c r="S16" s="58"/>
      <c r="T16" s="56" t="s">
        <v>99</v>
      </c>
      <c r="U16" s="57">
        <v>0</v>
      </c>
      <c r="V16" s="57">
        <v>0</v>
      </c>
      <c r="W16" s="58">
        <v>0</v>
      </c>
      <c r="Y16" s="56" t="s">
        <v>99</v>
      </c>
      <c r="Z16" s="57">
        <v>0</v>
      </c>
      <c r="AA16" s="57">
        <v>0</v>
      </c>
      <c r="AB16" s="58">
        <v>0</v>
      </c>
      <c r="AC16" s="58"/>
      <c r="AD16" s="56" t="s">
        <v>32</v>
      </c>
      <c r="AE16" s="57">
        <v>1.7303615960099752</v>
      </c>
      <c r="AF16" s="59">
        <v>173.23199999999997</v>
      </c>
      <c r="AG16" s="58">
        <v>299.75399999999996</v>
      </c>
      <c r="AQ16" s="55"/>
      <c r="AR16" s="71">
        <v>27960.474655728103</v>
      </c>
      <c r="AS16" s="71">
        <v>32015.294462349841</v>
      </c>
      <c r="AT16" s="71">
        <v>35116.583650747147</v>
      </c>
      <c r="AU16" s="71">
        <v>42124.113682976858</v>
      </c>
      <c r="AV16" s="71">
        <v>48576.003515968354</v>
      </c>
      <c r="AW16" s="72">
        <v>1020</v>
      </c>
      <c r="AX16" s="73">
        <f t="shared" si="0"/>
        <v>34179.489305596253</v>
      </c>
      <c r="BA16" s="18">
        <v>22184.090243187813</v>
      </c>
      <c r="BB16" s="18">
        <v>25352.973923234691</v>
      </c>
      <c r="BC16" s="18">
        <v>27199.70700263698</v>
      </c>
      <c r="BD16" s="18">
        <v>34420.949311456199</v>
      </c>
      <c r="BE16" s="18">
        <v>40296.337532962207</v>
      </c>
      <c r="BF16" s="1">
        <v>985</v>
      </c>
      <c r="BG16" s="73">
        <f t="shared" si="1"/>
        <v>27253.005273952538</v>
      </c>
      <c r="BJ16" s="71">
        <v>23473.513038382658</v>
      </c>
      <c r="BK16" s="71">
        <v>26894.257251684739</v>
      </c>
      <c r="BL16" s="71">
        <v>28975.534720187519</v>
      </c>
      <c r="BM16" s="71">
        <v>36454.321711104603</v>
      </c>
      <c r="BN16" s="71">
        <v>42579.665983006154</v>
      </c>
      <c r="BO16" s="72">
        <v>1020</v>
      </c>
      <c r="BP16" s="73">
        <f t="shared" si="2"/>
        <v>28897.434222092008</v>
      </c>
    </row>
    <row r="17" spans="1:68" x14ac:dyDescent="0.2">
      <c r="A17" s="74" t="s">
        <v>36</v>
      </c>
      <c r="B17" s="75">
        <v>4.1000000000000002E-2</v>
      </c>
      <c r="C17" s="76">
        <v>850</v>
      </c>
      <c r="D17" s="76">
        <v>1040</v>
      </c>
      <c r="E17" s="76">
        <v>728</v>
      </c>
      <c r="F17" s="77">
        <f t="shared" si="3"/>
        <v>34.85</v>
      </c>
      <c r="G17" s="77">
        <f t="shared" si="4"/>
        <v>42.64</v>
      </c>
      <c r="H17" s="77">
        <f t="shared" si="5"/>
        <v>29.848000000000003</v>
      </c>
      <c r="I17" s="77">
        <f>F15-F17</f>
        <v>55.222838345864652</v>
      </c>
      <c r="J17" s="77">
        <f>G15-G17</f>
        <v>67.566766917293222</v>
      </c>
      <c r="K17" s="77">
        <f>H15-H17</f>
        <v>47.296736842105261</v>
      </c>
      <c r="L17"/>
      <c r="M17"/>
      <c r="N17"/>
      <c r="O17"/>
      <c r="S17" s="58"/>
      <c r="T17" s="56" t="s">
        <v>31</v>
      </c>
      <c r="U17" s="57">
        <v>0</v>
      </c>
      <c r="V17" s="57">
        <v>0</v>
      </c>
      <c r="W17" s="58">
        <v>0</v>
      </c>
      <c r="Y17" s="56" t="s">
        <v>31</v>
      </c>
      <c r="Z17" s="57">
        <v>0</v>
      </c>
      <c r="AA17" s="57">
        <v>0</v>
      </c>
      <c r="AB17" s="58">
        <v>0</v>
      </c>
      <c r="AC17" s="58"/>
      <c r="AD17" s="56" t="s">
        <v>99</v>
      </c>
      <c r="AE17" s="57">
        <v>12.270114942528716</v>
      </c>
      <c r="AF17" s="59">
        <v>18.79200000000003</v>
      </c>
      <c r="AG17" s="58">
        <v>230.58</v>
      </c>
      <c r="AQ17" s="55"/>
      <c r="AR17" s="71">
        <v>27461.500146498685</v>
      </c>
      <c r="AS17" s="71">
        <v>31448.725461470847</v>
      </c>
      <c r="AT17" s="71">
        <v>34509.024318781136</v>
      </c>
      <c r="AU17" s="71">
        <v>41410.19630823323</v>
      </c>
      <c r="AV17" s="71">
        <v>47763.492528567243</v>
      </c>
      <c r="AW17" s="72">
        <v>1005</v>
      </c>
      <c r="AX17" s="73">
        <f t="shared" si="0"/>
        <v>33583.431878113101</v>
      </c>
      <c r="BA17" s="18">
        <v>21713.272780544976</v>
      </c>
      <c r="BB17" s="18">
        <v>24813.595077644302</v>
      </c>
      <c r="BC17" s="18">
        <v>26625.930266627602</v>
      </c>
      <c r="BD17" s="18">
        <v>33740.990331087021</v>
      </c>
      <c r="BE17" s="18">
        <v>39504.189862291241</v>
      </c>
      <c r="BF17" s="1">
        <v>970</v>
      </c>
      <c r="BG17" s="73">
        <f t="shared" si="1"/>
        <v>26685.925871667154</v>
      </c>
      <c r="BJ17" s="71">
        <v>22998.329915030768</v>
      </c>
      <c r="BK17" s="71">
        <v>26347.465572809844</v>
      </c>
      <c r="BL17" s="71">
        <v>28394.227951948433</v>
      </c>
      <c r="BM17" s="71">
        <v>35764.693817755644</v>
      </c>
      <c r="BN17" s="71">
        <v>41779.724582478761</v>
      </c>
      <c r="BO17" s="72">
        <v>1005</v>
      </c>
      <c r="BP17" s="73">
        <f t="shared" si="2"/>
        <v>28323.172575446824</v>
      </c>
    </row>
    <row r="18" spans="1:68" x14ac:dyDescent="0.2">
      <c r="A18" s="74" t="s">
        <v>152</v>
      </c>
      <c r="B18" s="75">
        <v>3.3000000000000002E-2</v>
      </c>
      <c r="C18" s="76">
        <v>850</v>
      </c>
      <c r="D18" s="76">
        <v>1040</v>
      </c>
      <c r="E18" s="76">
        <v>728</v>
      </c>
      <c r="F18" s="77">
        <f t="shared" si="3"/>
        <v>28.05</v>
      </c>
      <c r="G18" s="77">
        <f t="shared" si="4"/>
        <v>34.32</v>
      </c>
      <c r="H18" s="77">
        <f t="shared" si="5"/>
        <v>24.024000000000001</v>
      </c>
      <c r="I18" s="77">
        <f t="shared" ref="I18:K19" si="7">F17-F18</f>
        <v>6.8000000000000007</v>
      </c>
      <c r="J18" s="77">
        <f t="shared" si="7"/>
        <v>8.32</v>
      </c>
      <c r="K18" s="77">
        <f t="shared" si="7"/>
        <v>5.8240000000000016</v>
      </c>
      <c r="L18"/>
      <c r="M18"/>
      <c r="N18"/>
      <c r="O18"/>
      <c r="S18" s="58"/>
      <c r="T18" s="56" t="s">
        <v>36</v>
      </c>
      <c r="U18" s="57">
        <v>12.292579545191769</v>
      </c>
      <c r="V18" s="57">
        <v>55.222838345864652</v>
      </c>
      <c r="W18" s="58">
        <v>678.83113307780752</v>
      </c>
      <c r="Y18" s="56" t="s">
        <v>36</v>
      </c>
      <c r="Z18" s="57">
        <v>12.292579545191767</v>
      </c>
      <c r="AA18" s="57">
        <v>87.706860902255642</v>
      </c>
      <c r="AB18" s="58">
        <v>1078.1435643000473</v>
      </c>
      <c r="AC18" s="58"/>
      <c r="AD18" s="56" t="s">
        <v>36</v>
      </c>
      <c r="AE18" s="57">
        <v>12.292579545191769</v>
      </c>
      <c r="AF18" s="59">
        <v>47.296736842105261</v>
      </c>
      <c r="AG18" s="58">
        <v>581.39889985958109</v>
      </c>
      <c r="AQ18" s="55"/>
      <c r="AR18" s="71">
        <v>26962.84793436859</v>
      </c>
      <c r="AS18" s="71">
        <v>30882.47875769118</v>
      </c>
      <c r="AT18" s="71">
        <v>33901.494286551424</v>
      </c>
      <c r="AU18" s="71">
        <v>40696.337532962207</v>
      </c>
      <c r="AV18" s="71">
        <v>46950.981541166133</v>
      </c>
      <c r="AW18" s="72">
        <v>990</v>
      </c>
      <c r="AX18" s="73">
        <f t="shared" si="0"/>
        <v>32987.593905654852</v>
      </c>
      <c r="BA18" s="18">
        <v>21243.451508936418</v>
      </c>
      <c r="BB18" s="18">
        <v>24275.944916495755</v>
      </c>
      <c r="BC18" s="18">
        <v>26053.530618224435</v>
      </c>
      <c r="BD18" s="18">
        <v>33061.324348080867</v>
      </c>
      <c r="BE18" s="18">
        <v>38712.891883973047</v>
      </c>
      <c r="BF18" s="1">
        <v>955</v>
      </c>
      <c r="BG18" s="73">
        <f t="shared" si="1"/>
        <v>26120.107823029597</v>
      </c>
      <c r="BJ18" s="71">
        <v>22523.67418693232</v>
      </c>
      <c r="BK18" s="71">
        <v>25801.230588924704</v>
      </c>
      <c r="BL18" s="71">
        <v>27812.716085555232</v>
      </c>
      <c r="BM18" s="71">
        <v>35075.47612071492</v>
      </c>
      <c r="BN18" s="71">
        <v>40981.130969821279</v>
      </c>
      <c r="BO18" s="72">
        <v>990</v>
      </c>
      <c r="BP18" s="73">
        <f t="shared" si="2"/>
        <v>27749.372985643135</v>
      </c>
    </row>
    <row r="19" spans="1:68" x14ac:dyDescent="0.2">
      <c r="A19" s="74" t="s">
        <v>39</v>
      </c>
      <c r="B19" s="75">
        <v>2.9000000000000001E-2</v>
      </c>
      <c r="C19" s="76">
        <v>850</v>
      </c>
      <c r="D19" s="76">
        <v>1040</v>
      </c>
      <c r="E19" s="76">
        <v>728</v>
      </c>
      <c r="F19" s="77">
        <f t="shared" si="3"/>
        <v>24.650000000000002</v>
      </c>
      <c r="G19" s="77">
        <f t="shared" si="4"/>
        <v>30.16</v>
      </c>
      <c r="H19" s="77">
        <f t="shared" si="5"/>
        <v>21.112000000000002</v>
      </c>
      <c r="I19" s="77">
        <f t="shared" si="7"/>
        <v>3.3999999999999986</v>
      </c>
      <c r="J19" s="77">
        <f t="shared" si="7"/>
        <v>4.16</v>
      </c>
      <c r="K19" s="77">
        <f t="shared" si="7"/>
        <v>2.911999999999999</v>
      </c>
      <c r="L19"/>
      <c r="M19"/>
      <c r="N19"/>
      <c r="O19"/>
      <c r="S19" s="58"/>
      <c r="T19" s="56" t="s">
        <v>39</v>
      </c>
      <c r="U19" s="57">
        <v>12.324998809896609</v>
      </c>
      <c r="V19" s="57">
        <v>10.199999999999999</v>
      </c>
      <c r="W19" s="58">
        <v>125.7149878609454</v>
      </c>
      <c r="Y19" s="56" t="s">
        <v>39</v>
      </c>
      <c r="Z19" s="57">
        <v>12.324998809896606</v>
      </c>
      <c r="AA19" s="57">
        <v>16.2</v>
      </c>
      <c r="AB19" s="58">
        <v>199.66498072032505</v>
      </c>
      <c r="AC19" s="58"/>
      <c r="AD19" s="56" t="s">
        <v>39</v>
      </c>
      <c r="AE19" s="57">
        <v>12.324998809896607</v>
      </c>
      <c r="AF19" s="59">
        <v>8.7360000000000007</v>
      </c>
      <c r="AG19" s="58">
        <v>107.67118960325676</v>
      </c>
      <c r="AQ19" s="55"/>
      <c r="AR19" s="71">
        <v>26464.430120128924</v>
      </c>
      <c r="AS19" s="71">
        <v>30316.700849692352</v>
      </c>
      <c r="AT19" s="71">
        <v>33293.8470553765</v>
      </c>
      <c r="AU19" s="71">
        <v>39982.595956636396</v>
      </c>
      <c r="AV19" s="71">
        <v>46138.411954292409</v>
      </c>
      <c r="AW19" s="72">
        <v>975</v>
      </c>
      <c r="AX19" s="73">
        <f t="shared" si="0"/>
        <v>32392.005566949905</v>
      </c>
      <c r="BA19" s="18">
        <v>20775.446820978614</v>
      </c>
      <c r="BB19" s="18">
        <v>23738.91004980955</v>
      </c>
      <c r="BC19" s="18">
        <v>25481.922062701437</v>
      </c>
      <c r="BD19" s="18">
        <v>32382.185760328157</v>
      </c>
      <c r="BE19" s="18">
        <v>37922.941693524757</v>
      </c>
      <c r="BF19" s="1">
        <v>940</v>
      </c>
      <c r="BG19" s="73">
        <f t="shared" si="1"/>
        <v>25555.202461177851</v>
      </c>
      <c r="BJ19" s="71">
        <v>22050.161148549665</v>
      </c>
      <c r="BK19" s="71">
        <v>25255.87459712863</v>
      </c>
      <c r="BL19" s="71">
        <v>27232.171110460007</v>
      </c>
      <c r="BM19" s="71">
        <v>34386.727219455024</v>
      </c>
      <c r="BN19" s="71">
        <v>40183.650747143278</v>
      </c>
      <c r="BO19" s="72">
        <v>975</v>
      </c>
      <c r="BP19" s="73">
        <f t="shared" si="2"/>
        <v>27176.470846762382</v>
      </c>
    </row>
    <row r="20" spans="1:68" x14ac:dyDescent="0.2">
      <c r="A20" s="74" t="s">
        <v>60</v>
      </c>
      <c r="B20" s="75">
        <f>1/((1/1.1)+0.08)</f>
        <v>1.0110294117647058</v>
      </c>
      <c r="C20" s="76">
        <v>94</v>
      </c>
      <c r="D20" s="76">
        <v>366</v>
      </c>
      <c r="E20" s="76">
        <v>315</v>
      </c>
      <c r="F20" s="77">
        <f t="shared" si="3"/>
        <v>95.036764705882348</v>
      </c>
      <c r="G20" s="77">
        <f t="shared" si="4"/>
        <v>370.03676470588232</v>
      </c>
      <c r="H20" s="77">
        <f t="shared" si="5"/>
        <v>318.47426470588232</v>
      </c>
      <c r="I20" s="77">
        <v>0</v>
      </c>
      <c r="J20" s="77">
        <v>0</v>
      </c>
      <c r="K20" s="77">
        <v>0</v>
      </c>
      <c r="L20"/>
      <c r="M20"/>
      <c r="N20"/>
      <c r="O20"/>
      <c r="P20" s="79"/>
      <c r="Q20" s="79"/>
      <c r="R20" s="79"/>
      <c r="S20" s="58"/>
      <c r="T20" s="56" t="s">
        <v>102</v>
      </c>
      <c r="U20" s="57">
        <v>12.985367040000009</v>
      </c>
      <c r="V20" s="57">
        <v>4.4302174765481155</v>
      </c>
      <c r="W20" s="58">
        <v>57.527999999999913</v>
      </c>
      <c r="Y20" s="56" t="s">
        <v>102</v>
      </c>
      <c r="Z20" s="57">
        <v>12.98536704</v>
      </c>
      <c r="AA20" s="57">
        <v>7.0223660000603161</v>
      </c>
      <c r="AB20" s="58">
        <v>91.18799999999986</v>
      </c>
      <c r="AC20" s="58"/>
      <c r="AD20" s="56" t="s">
        <v>102</v>
      </c>
      <c r="AE20" s="57">
        <v>12.985367039999984</v>
      </c>
      <c r="AF20" s="59">
        <v>14.845941543751692</v>
      </c>
      <c r="AG20" s="58">
        <v>192.78</v>
      </c>
      <c r="AQ20" s="55"/>
      <c r="AR20" s="71">
        <v>25965.983006152943</v>
      </c>
      <c r="AS20" s="71">
        <v>29751.303838265456</v>
      </c>
      <c r="AT20" s="71">
        <v>32686.111924992678</v>
      </c>
      <c r="AU20" s="71">
        <v>39268.912979783177</v>
      </c>
      <c r="AV20" s="71">
        <v>45326.04746557281</v>
      </c>
      <c r="AW20" s="72">
        <v>960</v>
      </c>
      <c r="AX20" s="73">
        <f t="shared" si="0"/>
        <v>31796.586873718137</v>
      </c>
      <c r="BA20" s="18">
        <v>20307.910928801641</v>
      </c>
      <c r="BB20" s="18">
        <v>23202.519777322006</v>
      </c>
      <c r="BC20" s="18">
        <v>24911.514796366835</v>
      </c>
      <c r="BD20" s="18">
        <v>31704.072663346033</v>
      </c>
      <c r="BE20" s="18">
        <v>37134.485789627892</v>
      </c>
      <c r="BF20" s="1">
        <v>925</v>
      </c>
      <c r="BG20" s="73">
        <f t="shared" si="1"/>
        <v>24991.098154116611</v>
      </c>
      <c r="BJ20" s="71">
        <v>21576.648110167011</v>
      </c>
      <c r="BK20" s="71">
        <v>24711.807793729855</v>
      </c>
      <c r="BL20" s="71">
        <v>26653.882215060064</v>
      </c>
      <c r="BM20" s="71">
        <v>33698.593612657489</v>
      </c>
      <c r="BN20" s="71">
        <v>39386.756519191331</v>
      </c>
      <c r="BO20" s="72">
        <v>960</v>
      </c>
      <c r="BP20" s="73">
        <f t="shared" si="2"/>
        <v>26604.601816583654</v>
      </c>
    </row>
    <row r="21" spans="1:68" x14ac:dyDescent="0.2">
      <c r="A21" s="74" t="s">
        <v>61</v>
      </c>
      <c r="B21" s="75">
        <f>1/((1/0.75)+0.08)</f>
        <v>0.70754716981132071</v>
      </c>
      <c r="C21" s="76">
        <v>94</v>
      </c>
      <c r="D21" s="76">
        <v>366</v>
      </c>
      <c r="E21" s="76">
        <v>315</v>
      </c>
      <c r="F21" s="77">
        <f>B21*C21</f>
        <v>66.50943396226414</v>
      </c>
      <c r="G21" s="77">
        <f>B21*D21</f>
        <v>258.96226415094338</v>
      </c>
      <c r="H21" s="77">
        <f>B21*E21</f>
        <v>222.87735849056602</v>
      </c>
      <c r="I21" s="77">
        <f t="shared" ref="I21:K26" si="8">F20-F21</f>
        <v>28.527330743618208</v>
      </c>
      <c r="J21" s="77">
        <f t="shared" si="8"/>
        <v>111.07450055493894</v>
      </c>
      <c r="K21" s="77">
        <f t="shared" si="8"/>
        <v>95.596906215316295</v>
      </c>
      <c r="L21"/>
      <c r="M21"/>
      <c r="N21"/>
      <c r="O21"/>
      <c r="S21" s="58"/>
      <c r="T21" s="56" t="s">
        <v>93</v>
      </c>
      <c r="U21" s="57">
        <v>13.376368490197887</v>
      </c>
      <c r="V21" s="57">
        <v>48.901017733230532</v>
      </c>
      <c r="W21" s="58">
        <v>654.11803274539295</v>
      </c>
      <c r="Y21" s="56" t="s">
        <v>93</v>
      </c>
      <c r="Z21" s="57">
        <v>13.376368490197891</v>
      </c>
      <c r="AA21" s="57">
        <v>61.035714726291431</v>
      </c>
      <c r="AB21" s="58">
        <v>816.43621124147205</v>
      </c>
      <c r="AC21" s="58"/>
      <c r="AD21" s="56" t="s">
        <v>93</v>
      </c>
      <c r="AE21" s="57">
        <v>13.376368490197889</v>
      </c>
      <c r="AF21" s="59">
        <v>91.825244410177334</v>
      </c>
      <c r="AG21" s="58">
        <v>1228.2883059330159</v>
      </c>
      <c r="AQ21" s="55"/>
      <c r="AR21" s="71">
        <v>25467.682390858481</v>
      </c>
      <c r="AS21" s="71">
        <v>29185.877527102257</v>
      </c>
      <c r="AT21" s="71">
        <v>32078.493993554057</v>
      </c>
      <c r="AU21" s="71">
        <v>38555.552300029303</v>
      </c>
      <c r="AV21" s="71">
        <v>44513.712276589511</v>
      </c>
      <c r="AW21" s="72">
        <v>945</v>
      </c>
      <c r="AX21" s="73">
        <f t="shared" si="0"/>
        <v>31201.252270729565</v>
      </c>
      <c r="BA21" s="18">
        <v>19840.638734251395</v>
      </c>
      <c r="BB21" s="18">
        <v>22667.272194550249</v>
      </c>
      <c r="BC21" s="18">
        <v>24342.894813946677</v>
      </c>
      <c r="BD21" s="18">
        <v>31026.633460298857</v>
      </c>
      <c r="BE21" s="18">
        <v>36347.260474655726</v>
      </c>
      <c r="BF21" s="1">
        <v>910</v>
      </c>
      <c r="BG21" s="73">
        <f t="shared" si="1"/>
        <v>24427.992382068565</v>
      </c>
      <c r="BJ21" s="71">
        <v>21104.248461763847</v>
      </c>
      <c r="BK21" s="71">
        <v>24168.473483738646</v>
      </c>
      <c r="BL21" s="71">
        <v>26076.99970700264</v>
      </c>
      <c r="BM21" s="71">
        <v>33011.661295048347</v>
      </c>
      <c r="BN21" s="71">
        <v>38590.389686492825</v>
      </c>
      <c r="BO21" s="72">
        <v>945</v>
      </c>
      <c r="BP21" s="73">
        <f t="shared" si="2"/>
        <v>26033.700556694992</v>
      </c>
    </row>
    <row r="22" spans="1:68" x14ac:dyDescent="0.2">
      <c r="A22" s="74" t="s">
        <v>62</v>
      </c>
      <c r="B22" s="75">
        <f>1/((1/0.65)+0.08)</f>
        <v>0.61787072243346008</v>
      </c>
      <c r="C22" s="76">
        <v>94</v>
      </c>
      <c r="D22" s="76">
        <v>366</v>
      </c>
      <c r="E22" s="76">
        <v>315</v>
      </c>
      <c r="F22" s="77">
        <f>B22*C22</f>
        <v>58.079847908745251</v>
      </c>
      <c r="G22" s="77">
        <f>B22*D22</f>
        <v>226.1406844106464</v>
      </c>
      <c r="H22" s="77">
        <f>B22*E22</f>
        <v>194.62927756653994</v>
      </c>
      <c r="I22" s="77">
        <f t="shared" si="8"/>
        <v>8.4295860535188893</v>
      </c>
      <c r="J22" s="77">
        <f t="shared" si="8"/>
        <v>32.821579740296983</v>
      </c>
      <c r="K22" s="77">
        <f t="shared" si="8"/>
        <v>28.248080924026084</v>
      </c>
      <c r="L22"/>
      <c r="M22"/>
      <c r="N22"/>
      <c r="O22"/>
      <c r="S22" s="58"/>
      <c r="T22" s="56" t="s">
        <v>35</v>
      </c>
      <c r="U22" s="57">
        <v>14.788524303116995</v>
      </c>
      <c r="V22" s="57">
        <v>49.54474708171206</v>
      </c>
      <c r="W22" s="58">
        <v>732.69369630968367</v>
      </c>
      <c r="Y22" s="56" t="s">
        <v>35</v>
      </c>
      <c r="Z22" s="57">
        <v>14.788524303116994</v>
      </c>
      <c r="AA22" s="57">
        <v>78.688715953307394</v>
      </c>
      <c r="AB22" s="58">
        <v>1163.6899882565563</v>
      </c>
      <c r="AC22" s="58"/>
      <c r="AD22" s="56" t="s">
        <v>35</v>
      </c>
      <c r="AE22" s="57">
        <v>14.788524303116997</v>
      </c>
      <c r="AF22" s="59">
        <v>42.433618677042794</v>
      </c>
      <c r="AG22" s="58">
        <v>627.53060107464671</v>
      </c>
      <c r="AQ22" s="55"/>
      <c r="AR22" s="71">
        <v>24969.586873718137</v>
      </c>
      <c r="AS22" s="71">
        <v>28620.627014356873</v>
      </c>
      <c r="AT22" s="71">
        <v>31471.286258423675</v>
      </c>
      <c r="AU22" s="71">
        <v>37842.982713155587</v>
      </c>
      <c r="AV22" s="71">
        <v>43701.552886024023</v>
      </c>
      <c r="AW22" s="72">
        <v>930</v>
      </c>
      <c r="AX22" s="73">
        <f t="shared" si="0"/>
        <v>30606.226779958979</v>
      </c>
      <c r="BA22" s="18">
        <v>19373.65953706417</v>
      </c>
      <c r="BB22" s="18">
        <v>22133.870495165542</v>
      </c>
      <c r="BC22" s="18">
        <v>23774.919425725169</v>
      </c>
      <c r="BD22" s="18">
        <v>30351.450336946968</v>
      </c>
      <c r="BE22" s="18">
        <v>35560.972751245245</v>
      </c>
      <c r="BF22" s="1">
        <v>895</v>
      </c>
      <c r="BG22" s="73">
        <f t="shared" si="1"/>
        <v>23866.248754761211</v>
      </c>
      <c r="BJ22" s="71">
        <v>20632.053911514795</v>
      </c>
      <c r="BK22" s="71">
        <v>23625.930266627602</v>
      </c>
      <c r="BL22" s="71">
        <v>25500.703193671256</v>
      </c>
      <c r="BM22" s="71">
        <v>32325.490770583066</v>
      </c>
      <c r="BN22" s="71">
        <v>37795.282742455318</v>
      </c>
      <c r="BO22" s="72">
        <v>930</v>
      </c>
      <c r="BP22" s="73">
        <f t="shared" si="2"/>
        <v>25463.466158804571</v>
      </c>
    </row>
    <row r="23" spans="1:68" x14ac:dyDescent="0.2">
      <c r="A23" s="74" t="s">
        <v>57</v>
      </c>
      <c r="B23" s="75">
        <f>1/((1/0.55)+0.08)</f>
        <v>0.52681992337164751</v>
      </c>
      <c r="C23" s="76">
        <v>94</v>
      </c>
      <c r="D23" s="76">
        <v>366</v>
      </c>
      <c r="E23" s="76">
        <v>315</v>
      </c>
      <c r="F23" s="77">
        <f>B23*C23</f>
        <v>49.521072796934867</v>
      </c>
      <c r="G23" s="77">
        <f>B23*D23</f>
        <v>192.81609195402299</v>
      </c>
      <c r="H23" s="77">
        <f>B23*E23</f>
        <v>165.94827586206895</v>
      </c>
      <c r="I23" s="77">
        <f t="shared" si="8"/>
        <v>8.5587751118103839</v>
      </c>
      <c r="J23" s="77">
        <f t="shared" si="8"/>
        <v>33.324592456623407</v>
      </c>
      <c r="K23" s="77">
        <f t="shared" si="8"/>
        <v>28.681001704470987</v>
      </c>
      <c r="L23"/>
      <c r="M23"/>
      <c r="N23"/>
      <c r="O23"/>
      <c r="S23" s="58"/>
      <c r="T23" s="56" t="s">
        <v>38</v>
      </c>
      <c r="U23" s="57">
        <v>15.731630064055338</v>
      </c>
      <c r="V23" s="57">
        <v>17.850000000000001</v>
      </c>
      <c r="W23" s="58">
        <v>280.80959664338781</v>
      </c>
      <c r="Y23" s="56" t="s">
        <v>38</v>
      </c>
      <c r="Z23" s="57">
        <v>15.731630064055338</v>
      </c>
      <c r="AA23" s="57">
        <v>28.35</v>
      </c>
      <c r="AB23" s="58">
        <v>445.99171231596887</v>
      </c>
      <c r="AC23" s="58"/>
      <c r="AD23" s="56" t="s">
        <v>38</v>
      </c>
      <c r="AE23" s="57">
        <v>15.73163006405534</v>
      </c>
      <c r="AF23" s="59">
        <v>15.288</v>
      </c>
      <c r="AG23" s="58">
        <v>240.50516041927804</v>
      </c>
      <c r="AQ23" s="55"/>
      <c r="AR23" s="71">
        <v>24472.07735130384</v>
      </c>
      <c r="AS23" s="71">
        <v>28055.669498974512</v>
      </c>
      <c r="AT23" s="71">
        <v>30864.195722238503</v>
      </c>
      <c r="AU23" s="71">
        <v>37130.911221799004</v>
      </c>
      <c r="AV23" s="71">
        <v>42889.393495458542</v>
      </c>
      <c r="AW23" s="72">
        <v>915</v>
      </c>
      <c r="AX23" s="73">
        <f t="shared" si="0"/>
        <v>30011.539701142694</v>
      </c>
      <c r="BA23" s="18">
        <v>18906.826838558452</v>
      </c>
      <c r="BB23" s="18">
        <v>21602.402578376797</v>
      </c>
      <c r="BC23" s="18">
        <v>23208.496923527691</v>
      </c>
      <c r="BD23" s="18">
        <v>29677.761500146498</v>
      </c>
      <c r="BE23" s="18">
        <v>34776.882508057432</v>
      </c>
      <c r="BF23" s="1">
        <v>880</v>
      </c>
      <c r="BG23" s="73">
        <f t="shared" si="1"/>
        <v>23305.974216232054</v>
      </c>
      <c r="BJ23" s="71">
        <v>20160.093759156167</v>
      </c>
      <c r="BK23" s="71">
        <v>23084.471139759746</v>
      </c>
      <c r="BL23" s="71">
        <v>24924.875476120716</v>
      </c>
      <c r="BM23" s="71">
        <v>31640.580134778789</v>
      </c>
      <c r="BN23" s="71">
        <v>37000.849692352771</v>
      </c>
      <c r="BO23" s="72">
        <v>915</v>
      </c>
      <c r="BP23" s="73">
        <f t="shared" si="2"/>
        <v>24894.055376501616</v>
      </c>
    </row>
    <row r="24" spans="1:68" x14ac:dyDescent="0.2">
      <c r="A24" s="78" t="s">
        <v>148</v>
      </c>
      <c r="B24" s="75">
        <f>1/((1/0.4)+0.08)</f>
        <v>0.38759689922480617</v>
      </c>
      <c r="C24" s="76">
        <v>94</v>
      </c>
      <c r="D24" s="76">
        <v>366</v>
      </c>
      <c r="E24" s="76">
        <v>315</v>
      </c>
      <c r="F24" s="77">
        <f t="shared" si="3"/>
        <v>36.434108527131777</v>
      </c>
      <c r="G24" s="77">
        <f t="shared" si="4"/>
        <v>141.86046511627904</v>
      </c>
      <c r="H24" s="77">
        <f t="shared" si="5"/>
        <v>122.09302325581395</v>
      </c>
      <c r="I24" s="77">
        <f t="shared" si="8"/>
        <v>13.08696426980309</v>
      </c>
      <c r="J24" s="77">
        <f t="shared" si="8"/>
        <v>50.955626837743949</v>
      </c>
      <c r="K24" s="77">
        <f t="shared" si="8"/>
        <v>43.855252606255007</v>
      </c>
      <c r="L24"/>
      <c r="M24"/>
      <c r="N24"/>
      <c r="O24"/>
      <c r="S24" s="58"/>
      <c r="T24" s="56" t="s">
        <v>41</v>
      </c>
      <c r="U24" s="57">
        <v>20.424836601307188</v>
      </c>
      <c r="V24" s="57">
        <v>12.24</v>
      </c>
      <c r="W24" s="58">
        <v>250</v>
      </c>
      <c r="Y24" s="56" t="s">
        <v>41</v>
      </c>
      <c r="Z24" s="57">
        <v>20.424836601307188</v>
      </c>
      <c r="AA24" s="57">
        <v>12.24</v>
      </c>
      <c r="AB24" s="58">
        <v>250</v>
      </c>
      <c r="AC24" s="58"/>
      <c r="AD24" s="56" t="s">
        <v>41</v>
      </c>
      <c r="AE24" s="57">
        <v>20.424836601307188</v>
      </c>
      <c r="AF24" s="59">
        <v>12.24</v>
      </c>
      <c r="AG24" s="58">
        <v>250</v>
      </c>
      <c r="AQ24" s="55"/>
      <c r="AR24" s="71">
        <v>23975.241722824496</v>
      </c>
      <c r="AS24" s="71">
        <v>27490.858482273663</v>
      </c>
      <c r="AT24" s="71">
        <v>30257.779079988282</v>
      </c>
      <c r="AU24" s="71">
        <v>36419.162027541759</v>
      </c>
      <c r="AV24" s="71">
        <v>42077.585701728683</v>
      </c>
      <c r="AW24" s="72">
        <v>900</v>
      </c>
      <c r="AX24" s="73">
        <f t="shared" si="0"/>
        <v>29417.222384998538</v>
      </c>
      <c r="BA24" s="18">
        <v>18441.400527395253</v>
      </c>
      <c r="BB24" s="18">
        <v>21071.374157632585</v>
      </c>
      <c r="BC24" s="18">
        <v>22642.660416056257</v>
      </c>
      <c r="BD24" s="18">
        <v>29004.600058599473</v>
      </c>
      <c r="BE24" s="18">
        <v>33995.224142982712</v>
      </c>
      <c r="BF24" s="1">
        <v>865</v>
      </c>
      <c r="BG24" s="73">
        <f t="shared" si="1"/>
        <v>22746.487254614709</v>
      </c>
      <c r="BJ24" s="71">
        <v>19690.213888075006</v>
      </c>
      <c r="BK24" s="71">
        <v>22543.451508936421</v>
      </c>
      <c r="BL24" s="71">
        <v>24349.223556987989</v>
      </c>
      <c r="BM24" s="71">
        <v>30956.079695282744</v>
      </c>
      <c r="BN24" s="71">
        <v>36207.237034866688</v>
      </c>
      <c r="BO24" s="72">
        <v>900</v>
      </c>
      <c r="BP24" s="73">
        <f t="shared" si="2"/>
        <v>24325.391151479638</v>
      </c>
    </row>
    <row r="25" spans="1:68" x14ac:dyDescent="0.2">
      <c r="A25" s="78" t="s">
        <v>101</v>
      </c>
      <c r="B25" s="75">
        <v>0.34</v>
      </c>
      <c r="C25" s="76">
        <v>94</v>
      </c>
      <c r="D25" s="76">
        <v>366</v>
      </c>
      <c r="E25" s="76">
        <v>315</v>
      </c>
      <c r="F25" s="77">
        <f t="shared" si="3"/>
        <v>31.96</v>
      </c>
      <c r="G25" s="77">
        <f t="shared" si="4"/>
        <v>124.44000000000001</v>
      </c>
      <c r="H25" s="77">
        <f t="shared" si="5"/>
        <v>107.10000000000001</v>
      </c>
      <c r="I25" s="77">
        <f t="shared" si="8"/>
        <v>4.4741085271317758</v>
      </c>
      <c r="J25" s="77">
        <f t="shared" si="8"/>
        <v>17.420465116279033</v>
      </c>
      <c r="K25" s="77">
        <f t="shared" si="8"/>
        <v>14.993023255813938</v>
      </c>
      <c r="L25"/>
      <c r="M25"/>
      <c r="N25"/>
      <c r="O25"/>
      <c r="S25" s="58"/>
      <c r="T25" s="56" t="s">
        <v>104</v>
      </c>
      <c r="U25" s="57">
        <v>28.632678399999978</v>
      </c>
      <c r="V25" s="57">
        <v>4.4648285505836611</v>
      </c>
      <c r="W25" s="58">
        <v>127.84</v>
      </c>
      <c r="Y25" s="56" t="s">
        <v>104</v>
      </c>
      <c r="Z25" s="57">
        <v>28.632678399999993</v>
      </c>
      <c r="AA25" s="57">
        <v>7.0772282344358004</v>
      </c>
      <c r="AB25" s="58">
        <v>202.64</v>
      </c>
      <c r="AC25" s="58"/>
      <c r="AD25" s="56" t="s">
        <v>104</v>
      </c>
      <c r="AE25" s="57">
        <v>28.632678400000007</v>
      </c>
      <c r="AF25" s="59">
        <v>14.961925462062254</v>
      </c>
      <c r="AG25" s="58">
        <v>428.4</v>
      </c>
      <c r="AQ25" s="55"/>
      <c r="AR25" s="71">
        <v>23478.933489598596</v>
      </c>
      <c r="AS25" s="71">
        <v>26925.959566363905</v>
      </c>
      <c r="AT25" s="71">
        <v>29651.714034573692</v>
      </c>
      <c r="AU25" s="71">
        <v>35707.823029592735</v>
      </c>
      <c r="AV25" s="71">
        <v>41266.481101670084</v>
      </c>
      <c r="AW25" s="72">
        <v>885</v>
      </c>
      <c r="AX25" s="73">
        <f t="shared" si="0"/>
        <v>28823.128332845008</v>
      </c>
      <c r="BA25" s="18">
        <v>17977.937298564313</v>
      </c>
      <c r="BB25" s="18">
        <v>20540.580134778789</v>
      </c>
      <c r="BC25" s="18">
        <v>22078.728391444478</v>
      </c>
      <c r="BD25" s="18">
        <v>28332.405508350428</v>
      </c>
      <c r="BE25" s="18">
        <v>33215.177263404628</v>
      </c>
      <c r="BF25" s="1">
        <v>850</v>
      </c>
      <c r="BG25" s="73">
        <f t="shared" si="1"/>
        <v>22188.023439789042</v>
      </c>
      <c r="BJ25" s="71">
        <v>19221.330208028128</v>
      </c>
      <c r="BK25" s="71">
        <v>22002.695575739817</v>
      </c>
      <c r="BL25" s="71">
        <v>23774.157632581308</v>
      </c>
      <c r="BM25" s="71">
        <v>30272.223849985352</v>
      </c>
      <c r="BN25" s="71">
        <v>35414.122472897747</v>
      </c>
      <c r="BO25" s="72">
        <v>885</v>
      </c>
      <c r="BP25" s="73">
        <f t="shared" si="2"/>
        <v>23757.256665690009</v>
      </c>
    </row>
    <row r="26" spans="1:68" x14ac:dyDescent="0.2">
      <c r="A26" s="78" t="s">
        <v>40</v>
      </c>
      <c r="B26" s="75">
        <f>1/((1/0.3)+0.08)</f>
        <v>0.29296875</v>
      </c>
      <c r="C26" s="76">
        <v>94</v>
      </c>
      <c r="D26" s="76">
        <v>366</v>
      </c>
      <c r="E26" s="76">
        <v>315</v>
      </c>
      <c r="F26" s="77">
        <f t="shared" si="3"/>
        <v>27.5390625</v>
      </c>
      <c r="G26" s="77">
        <f t="shared" si="4"/>
        <v>107.2265625</v>
      </c>
      <c r="H26" s="77">
        <f t="shared" si="5"/>
        <v>92.28515625</v>
      </c>
      <c r="I26" s="77">
        <f t="shared" si="8"/>
        <v>4.4209375000000009</v>
      </c>
      <c r="J26" s="77">
        <f t="shared" si="8"/>
        <v>17.213437500000012</v>
      </c>
      <c r="K26" s="77">
        <f t="shared" si="8"/>
        <v>14.814843750000009</v>
      </c>
      <c r="L26"/>
      <c r="M26"/>
      <c r="N26"/>
      <c r="O26"/>
      <c r="S26" s="58"/>
      <c r="T26" s="56" t="s">
        <v>100</v>
      </c>
      <c r="U26" s="57">
        <v>33.359375</v>
      </c>
      <c r="V26" s="57">
        <v>3.4</v>
      </c>
      <c r="W26" s="58">
        <v>113.421875</v>
      </c>
      <c r="Y26" s="56" t="s">
        <v>100</v>
      </c>
      <c r="Z26" s="57">
        <v>33.359375</v>
      </c>
      <c r="AA26" s="57">
        <v>5.4</v>
      </c>
      <c r="AB26" s="58">
        <v>180.140625</v>
      </c>
      <c r="AC26" s="58"/>
      <c r="AD26" s="56" t="s">
        <v>100</v>
      </c>
      <c r="AE26" s="57">
        <v>33.359375</v>
      </c>
      <c r="AF26" s="59">
        <v>2.9120000000000026</v>
      </c>
      <c r="AG26" s="58">
        <v>97.142499999999998</v>
      </c>
      <c r="AQ26" s="55"/>
      <c r="AR26" s="71">
        <v>22983.211251098739</v>
      </c>
      <c r="AS26" s="71">
        <v>26361.382947553473</v>
      </c>
      <c r="AT26" s="71">
        <v>29045.619689422794</v>
      </c>
      <c r="AU26" s="71">
        <v>34996.513331380018</v>
      </c>
      <c r="AV26" s="71">
        <v>40455.317902138886</v>
      </c>
      <c r="AW26" s="72">
        <v>870</v>
      </c>
      <c r="AX26" s="73">
        <f t="shared" si="0"/>
        <v>28229.289774392033</v>
      </c>
      <c r="BA26" s="18">
        <v>17515.353061822447</v>
      </c>
      <c r="BB26" s="18">
        <v>20010.577204805159</v>
      </c>
      <c r="BC26" s="18">
        <v>21515.528860240258</v>
      </c>
      <c r="BD26" s="18">
        <v>27661.148549663056</v>
      </c>
      <c r="BE26" s="18">
        <v>32436.976267213595</v>
      </c>
      <c r="BF26" s="1">
        <v>835</v>
      </c>
      <c r="BG26" s="73">
        <f t="shared" si="1"/>
        <v>21630.44476999707</v>
      </c>
      <c r="BJ26" s="71">
        <v>18753.647817169647</v>
      </c>
      <c r="BK26" s="71">
        <v>21464.811016700849</v>
      </c>
      <c r="BL26" s="71">
        <v>23200.087899208906</v>
      </c>
      <c r="BM26" s="71">
        <v>29589.364195722239</v>
      </c>
      <c r="BN26" s="71">
        <v>34621.623205391152</v>
      </c>
      <c r="BO26" s="72">
        <v>870</v>
      </c>
      <c r="BP26" s="73">
        <f t="shared" si="2"/>
        <v>23190.961617345441</v>
      </c>
    </row>
    <row r="27" spans="1:68" x14ac:dyDescent="0.2">
      <c r="A27" s="80" t="s">
        <v>30</v>
      </c>
      <c r="B27" s="75">
        <v>0.47</v>
      </c>
      <c r="C27" s="76">
        <v>40</v>
      </c>
      <c r="D27" s="76">
        <v>55</v>
      </c>
      <c r="E27" s="76">
        <v>40</v>
      </c>
      <c r="F27" s="77">
        <f t="shared" si="3"/>
        <v>18.799999999999997</v>
      </c>
      <c r="G27" s="77">
        <f t="shared" si="4"/>
        <v>25.849999999999998</v>
      </c>
      <c r="H27" s="77">
        <f t="shared" si="5"/>
        <v>18.799999999999997</v>
      </c>
      <c r="I27" s="77">
        <v>0</v>
      </c>
      <c r="J27" s="77">
        <v>0</v>
      </c>
      <c r="K27" s="77">
        <v>0</v>
      </c>
      <c r="L27"/>
      <c r="M27"/>
      <c r="N27"/>
      <c r="O27"/>
      <c r="S27" s="58"/>
      <c r="T27" s="56" t="s">
        <v>97</v>
      </c>
      <c r="U27" s="57">
        <v>36.39367979072712</v>
      </c>
      <c r="V27" s="57">
        <v>4.25</v>
      </c>
      <c r="W27" s="58">
        <v>154.67313911059014</v>
      </c>
      <c r="Y27" s="56" t="s">
        <v>97</v>
      </c>
      <c r="Z27" s="57">
        <v>36.393679790727127</v>
      </c>
      <c r="AA27" s="57">
        <v>6.7499999999999929</v>
      </c>
      <c r="AB27" s="58">
        <v>245.65733858740785</v>
      </c>
      <c r="AC27" s="58"/>
      <c r="AD27" s="56" t="s">
        <v>97</v>
      </c>
      <c r="AE27" s="57">
        <v>36.39367979072712</v>
      </c>
      <c r="AF27" s="59">
        <v>3.64</v>
      </c>
      <c r="AG27" s="58">
        <v>132.47299443824662</v>
      </c>
      <c r="AQ27" s="55"/>
      <c r="AR27" s="71">
        <v>22487.635511280401</v>
      </c>
      <c r="AS27" s="71">
        <v>25797.128625842372</v>
      </c>
      <c r="AT27" s="71">
        <v>28439.730442426022</v>
      </c>
      <c r="AU27" s="71">
        <v>34285.174333431001</v>
      </c>
      <c r="AV27" s="71">
        <v>39644.242601816579</v>
      </c>
      <c r="AW27" s="72">
        <v>855</v>
      </c>
      <c r="AX27" s="73">
        <f t="shared" si="0"/>
        <v>27635.653970114276</v>
      </c>
      <c r="BA27" s="18">
        <v>17053.120421916203</v>
      </c>
      <c r="BB27" s="18">
        <v>19482.537357163787</v>
      </c>
      <c r="BC27" s="18">
        <v>20952.827424553179</v>
      </c>
      <c r="BD27" s="18">
        <v>26991.034280691474</v>
      </c>
      <c r="BE27" s="18">
        <v>31660.650454145914</v>
      </c>
      <c r="BF27" s="1">
        <v>820</v>
      </c>
      <c r="BG27" s="73">
        <f t="shared" si="1"/>
        <v>21074.158804570761</v>
      </c>
      <c r="BJ27" s="71">
        <v>18287.108116026957</v>
      </c>
      <c r="BK27" s="71">
        <v>20929.973630237328</v>
      </c>
      <c r="BL27" s="71">
        <v>22626.13536478172</v>
      </c>
      <c r="BM27" s="71">
        <v>28907.149135657783</v>
      </c>
      <c r="BN27" s="71">
        <v>33831.614415470263</v>
      </c>
      <c r="BO27" s="72">
        <v>855</v>
      </c>
      <c r="BP27" s="73">
        <f t="shared" si="2"/>
        <v>22626.499560503955</v>
      </c>
    </row>
    <row r="28" spans="1:68" x14ac:dyDescent="0.2">
      <c r="A28" s="74" t="s">
        <v>103</v>
      </c>
      <c r="B28" s="75">
        <v>0.19</v>
      </c>
      <c r="C28" s="76">
        <v>40</v>
      </c>
      <c r="D28" s="76">
        <v>55</v>
      </c>
      <c r="E28" s="76">
        <v>40</v>
      </c>
      <c r="F28" s="77">
        <f t="shared" si="3"/>
        <v>7.6</v>
      </c>
      <c r="G28" s="77">
        <f t="shared" si="4"/>
        <v>10.45</v>
      </c>
      <c r="H28" s="77">
        <f t="shared" si="5"/>
        <v>7.6</v>
      </c>
      <c r="I28" s="77">
        <f>F27-F28</f>
        <v>11.199999999999998</v>
      </c>
      <c r="J28" s="77">
        <f>G27-G28</f>
        <v>15.399999999999999</v>
      </c>
      <c r="K28" s="77">
        <f>H27-H28</f>
        <v>11.199999999999998</v>
      </c>
      <c r="L28"/>
      <c r="M28"/>
      <c r="N28"/>
      <c r="O28"/>
      <c r="S28" s="58"/>
      <c r="T28" s="56" t="s">
        <v>103</v>
      </c>
      <c r="U28" s="57">
        <v>53.61328125</v>
      </c>
      <c r="V28" s="57">
        <v>11.2</v>
      </c>
      <c r="W28" s="58">
        <v>600.46875</v>
      </c>
      <c r="Y28" s="56" t="s">
        <v>103</v>
      </c>
      <c r="Z28" s="57">
        <v>53.61328125</v>
      </c>
      <c r="AA28" s="57">
        <v>11.2</v>
      </c>
      <c r="AB28" s="58">
        <v>600.46875</v>
      </c>
      <c r="AC28" s="58"/>
      <c r="AD28" s="56" t="s">
        <v>103</v>
      </c>
      <c r="AE28" s="57">
        <v>53.61328125</v>
      </c>
      <c r="AF28" s="59">
        <v>11.2</v>
      </c>
      <c r="AG28" s="58">
        <v>600.46875</v>
      </c>
      <c r="AQ28" s="55"/>
      <c r="AR28" s="71">
        <v>21992.557866979201</v>
      </c>
      <c r="AS28" s="71">
        <v>25232.786404922357</v>
      </c>
      <c r="AT28" s="71">
        <v>27833.958394374455</v>
      </c>
      <c r="AU28" s="71">
        <v>33574.186932317607</v>
      </c>
      <c r="AV28" s="71">
        <v>38833.694696747727</v>
      </c>
      <c r="AW28" s="72">
        <v>840</v>
      </c>
      <c r="AX28" s="73">
        <f t="shared" si="0"/>
        <v>27042.181072370349</v>
      </c>
      <c r="BA28" s="18">
        <v>16591.766774099033</v>
      </c>
      <c r="BB28" s="18">
        <v>18957.603281570468</v>
      </c>
      <c r="BC28" s="18">
        <v>20391.649575153824</v>
      </c>
      <c r="BD28" s="18">
        <v>26320.949311456196</v>
      </c>
      <c r="BE28" s="18">
        <v>30885.789627893351</v>
      </c>
      <c r="BF28" s="1">
        <v>805</v>
      </c>
      <c r="BG28" s="73">
        <f t="shared" si="1"/>
        <v>20519.73600937592</v>
      </c>
      <c r="BJ28" s="71">
        <v>17821.74040433636</v>
      </c>
      <c r="BK28" s="71">
        <v>20396.132434808089</v>
      </c>
      <c r="BL28" s="71">
        <v>22052.827424553179</v>
      </c>
      <c r="BM28" s="71">
        <v>28225.021974802228</v>
      </c>
      <c r="BN28" s="71">
        <v>33042.689715792556</v>
      </c>
      <c r="BO28" s="72">
        <v>840</v>
      </c>
      <c r="BP28" s="73">
        <f t="shared" si="2"/>
        <v>22062.885145033695</v>
      </c>
    </row>
    <row r="29" spans="1:68" x14ac:dyDescent="0.2">
      <c r="A29" s="74" t="s">
        <v>150</v>
      </c>
      <c r="B29" s="81">
        <v>0.33116666666666666</v>
      </c>
      <c r="C29" s="76">
        <v>0</v>
      </c>
      <c r="D29" s="76">
        <v>0</v>
      </c>
      <c r="E29" s="76">
        <v>864</v>
      </c>
      <c r="F29" s="77">
        <f t="shared" si="3"/>
        <v>0</v>
      </c>
      <c r="G29" s="77">
        <f t="shared" si="4"/>
        <v>0</v>
      </c>
      <c r="H29" s="77">
        <f t="shared" si="5"/>
        <v>286.12799999999999</v>
      </c>
      <c r="I29" s="77">
        <v>0</v>
      </c>
      <c r="J29" s="77">
        <v>0</v>
      </c>
      <c r="K29" s="77">
        <v>0</v>
      </c>
      <c r="L29"/>
      <c r="M29"/>
      <c r="N29"/>
      <c r="O29"/>
      <c r="T29" s="56"/>
      <c r="U29" s="57"/>
      <c r="V29" s="57"/>
      <c r="W29" s="58"/>
      <c r="X29" s="58"/>
      <c r="Y29" s="56"/>
      <c r="Z29" s="57"/>
      <c r="AA29" s="57"/>
      <c r="AB29" s="58"/>
      <c r="AC29" s="58"/>
      <c r="AD29" s="56"/>
      <c r="AE29" s="57"/>
      <c r="AF29" s="59"/>
      <c r="AG29" s="58"/>
      <c r="AQ29" s="55"/>
      <c r="AR29" s="71">
        <v>21497.949018458836</v>
      </c>
      <c r="AS29" s="71">
        <v>24668.649282156464</v>
      </c>
      <c r="AT29" s="71">
        <v>27228.303545268092</v>
      </c>
      <c r="AU29" s="71">
        <v>32863.140931731614</v>
      </c>
      <c r="AV29" s="71">
        <v>38023.469088778205</v>
      </c>
      <c r="AW29" s="72">
        <v>825</v>
      </c>
      <c r="AX29" s="73">
        <f t="shared" si="0"/>
        <v>26448.92030471726</v>
      </c>
      <c r="BA29" s="18">
        <v>16131.526516261354</v>
      </c>
      <c r="BB29" s="18">
        <v>18435.013184881336</v>
      </c>
      <c r="BC29" s="18">
        <v>19831.819513624378</v>
      </c>
      <c r="BD29" s="18">
        <v>25651.274538529156</v>
      </c>
      <c r="BE29" s="18">
        <v>30111.837093466158</v>
      </c>
      <c r="BF29" s="1">
        <v>790</v>
      </c>
      <c r="BG29" s="73">
        <f t="shared" si="1"/>
        <v>19966.885438031059</v>
      </c>
      <c r="BJ29" s="71">
        <v>17357.691180779373</v>
      </c>
      <c r="BK29" s="71">
        <v>19864.459419865219</v>
      </c>
      <c r="BL29" s="71">
        <v>21482.097861119248</v>
      </c>
      <c r="BM29" s="71">
        <v>27544.330501025492</v>
      </c>
      <c r="BN29" s="71">
        <v>32255.024904775859</v>
      </c>
      <c r="BO29" s="72">
        <v>825</v>
      </c>
      <c r="BP29" s="73">
        <f t="shared" si="2"/>
        <v>21501.166129504832</v>
      </c>
    </row>
    <row r="30" spans="1:68" x14ac:dyDescent="0.2">
      <c r="A30" s="74" t="s">
        <v>151</v>
      </c>
      <c r="B30" s="81">
        <v>0.13066666666666668</v>
      </c>
      <c r="C30" s="76">
        <v>0</v>
      </c>
      <c r="D30" s="76">
        <v>0</v>
      </c>
      <c r="E30" s="76">
        <v>864</v>
      </c>
      <c r="F30" s="77">
        <f t="shared" si="3"/>
        <v>0</v>
      </c>
      <c r="G30" s="77">
        <f t="shared" si="4"/>
        <v>0</v>
      </c>
      <c r="H30" s="77">
        <f t="shared" si="5"/>
        <v>112.89600000000002</v>
      </c>
      <c r="I30" s="77">
        <v>0</v>
      </c>
      <c r="J30" s="77">
        <v>0</v>
      </c>
      <c r="K30" s="77">
        <f>H29-H30</f>
        <v>173.23199999999997</v>
      </c>
      <c r="L30"/>
      <c r="M30"/>
      <c r="N30"/>
      <c r="O30"/>
      <c r="S30" s="55"/>
      <c r="T30" s="56"/>
      <c r="U30" s="57"/>
      <c r="V30" s="57"/>
      <c r="W30" s="58"/>
      <c r="X30" s="58"/>
      <c r="Y30" s="56"/>
      <c r="Z30" s="57"/>
      <c r="AA30" s="57"/>
      <c r="AB30" s="58"/>
      <c r="AC30" s="58"/>
      <c r="AD30" s="56"/>
      <c r="AE30" s="57"/>
      <c r="AF30" s="59"/>
      <c r="AQ30" s="55"/>
      <c r="AR30" s="71">
        <v>21003.486668619982</v>
      </c>
      <c r="AS30" s="71">
        <v>24104.541459126871</v>
      </c>
      <c r="AT30" s="71">
        <v>26623.205391151481</v>
      </c>
      <c r="AU30" s="71">
        <v>32152.241429827136</v>
      </c>
      <c r="AV30" s="71">
        <v>37213.507178435393</v>
      </c>
      <c r="AW30" s="72">
        <v>810</v>
      </c>
      <c r="AX30" s="73">
        <f t="shared" si="0"/>
        <v>25855.823029592735</v>
      </c>
      <c r="BA30" s="18">
        <v>15672.194550249047</v>
      </c>
      <c r="BB30" s="18">
        <v>17913.536478171696</v>
      </c>
      <c r="BC30" s="18">
        <v>19273.893934954587</v>
      </c>
      <c r="BD30" s="18">
        <v>24982.097861119251</v>
      </c>
      <c r="BE30" s="18">
        <v>29340.14063873425</v>
      </c>
      <c r="BF30" s="1">
        <v>775</v>
      </c>
      <c r="BG30" s="73">
        <f t="shared" si="1"/>
        <v>19415.202168180487</v>
      </c>
      <c r="BJ30" s="71">
        <v>16896.425432171112</v>
      </c>
      <c r="BK30" s="71">
        <v>19334.192792264872</v>
      </c>
      <c r="BL30" s="71">
        <v>20912.803984764138</v>
      </c>
      <c r="BM30" s="71">
        <v>26863.726926457661</v>
      </c>
      <c r="BN30" s="71">
        <v>31467.50659244067</v>
      </c>
      <c r="BO30" s="72">
        <v>810</v>
      </c>
      <c r="BP30" s="73">
        <f t="shared" si="2"/>
        <v>20940.859947260476</v>
      </c>
    </row>
    <row r="31" spans="1:68" x14ac:dyDescent="0.2">
      <c r="A31" s="74" t="s">
        <v>149</v>
      </c>
      <c r="B31" s="81">
        <v>3.6999999999999998E-2</v>
      </c>
      <c r="C31" s="76">
        <v>0</v>
      </c>
      <c r="D31" s="76">
        <v>0</v>
      </c>
      <c r="E31" s="76">
        <v>864</v>
      </c>
      <c r="F31" s="77">
        <f t="shared" si="3"/>
        <v>0</v>
      </c>
      <c r="G31" s="77">
        <f t="shared" si="4"/>
        <v>0</v>
      </c>
      <c r="H31" s="77">
        <f t="shared" si="5"/>
        <v>31.968</v>
      </c>
      <c r="I31" s="77">
        <v>0</v>
      </c>
      <c r="J31" s="77">
        <v>0</v>
      </c>
      <c r="K31" s="77">
        <f>H30-H31</f>
        <v>80.928000000000011</v>
      </c>
      <c r="L31"/>
      <c r="M31"/>
      <c r="N31"/>
      <c r="O31"/>
      <c r="T31" s="86"/>
      <c r="U31" s="57"/>
      <c r="V31" s="57"/>
      <c r="W31" s="58"/>
      <c r="X31" s="58"/>
      <c r="Y31" s="56"/>
      <c r="Z31" s="57"/>
      <c r="AA31" s="57"/>
      <c r="AB31" s="58"/>
      <c r="AC31" s="58"/>
      <c r="AD31" s="56"/>
      <c r="AE31" s="57"/>
      <c r="AF31" s="59"/>
      <c r="AQ31" s="55"/>
      <c r="AR31" s="71">
        <v>20509.698212716088</v>
      </c>
      <c r="AS31" s="71">
        <v>23540.755933196604</v>
      </c>
      <c r="AT31" s="71">
        <v>26018.869030178728</v>
      </c>
      <c r="AU31" s="71">
        <v>31441.254028713742</v>
      </c>
      <c r="AV31" s="71">
        <v>36403.603867565194</v>
      </c>
      <c r="AW31" s="72">
        <v>795</v>
      </c>
      <c r="AX31" s="73">
        <f t="shared" si="0"/>
        <v>25263.106944037503</v>
      </c>
      <c r="BA31" s="18">
        <v>15215.353061822445</v>
      </c>
      <c r="BB31" s="18">
        <v>17393.8470553765</v>
      </c>
      <c r="BC31" s="18">
        <v>18716.730149428655</v>
      </c>
      <c r="BD31" s="18">
        <v>24314.913565777912</v>
      </c>
      <c r="BE31" s="18">
        <v>28569.264576618811</v>
      </c>
      <c r="BF31" s="1">
        <v>760</v>
      </c>
      <c r="BG31" s="73">
        <f t="shared" si="1"/>
        <v>18865.265748608261</v>
      </c>
      <c r="BJ31" s="71">
        <v>16436.595370641666</v>
      </c>
      <c r="BK31" s="71">
        <v>18804.424260181659</v>
      </c>
      <c r="BL31" s="71">
        <v>20344.037503662468</v>
      </c>
      <c r="BM31" s="71">
        <v>26183.914444769998</v>
      </c>
      <c r="BN31" s="71">
        <v>30680.72077351304</v>
      </c>
      <c r="BO31" s="72">
        <v>795</v>
      </c>
      <c r="BP31" s="73">
        <f t="shared" si="2"/>
        <v>20381.301787283915</v>
      </c>
    </row>
    <row r="32" spans="1:68" x14ac:dyDescent="0.2">
      <c r="A32" s="82" t="s">
        <v>31</v>
      </c>
      <c r="B32" s="75">
        <f>0.018*0.5</f>
        <v>8.9999999999999993E-3</v>
      </c>
      <c r="C32" s="76">
        <v>6800</v>
      </c>
      <c r="D32" s="126">
        <v>20300</v>
      </c>
      <c r="E32" s="76">
        <v>17472</v>
      </c>
      <c r="F32" s="77">
        <f t="shared" si="3"/>
        <v>61.199999999999996</v>
      </c>
      <c r="G32" s="77">
        <f t="shared" si="4"/>
        <v>182.7</v>
      </c>
      <c r="H32" s="77">
        <f t="shared" si="5"/>
        <v>157.24799999999999</v>
      </c>
      <c r="I32" s="77">
        <v>0</v>
      </c>
      <c r="J32" s="77">
        <v>0</v>
      </c>
      <c r="K32" s="77">
        <v>0</v>
      </c>
      <c r="L32"/>
      <c r="M32"/>
      <c r="N32"/>
      <c r="O32"/>
      <c r="T32" s="86" t="s">
        <v>109</v>
      </c>
      <c r="U32" s="57"/>
      <c r="V32" s="57"/>
      <c r="W32" s="58"/>
      <c r="X32" s="58"/>
      <c r="Y32" s="56"/>
      <c r="Z32" s="57"/>
      <c r="AA32" s="57"/>
      <c r="AB32" s="58"/>
      <c r="AC32" s="58"/>
      <c r="AD32" s="56"/>
      <c r="AE32" s="57"/>
      <c r="AF32" s="59"/>
      <c r="AQ32" s="55"/>
      <c r="AR32" s="71">
        <v>20016.671549956049</v>
      </c>
      <c r="AS32" s="71">
        <v>22977.527102256081</v>
      </c>
      <c r="AT32" s="71">
        <v>25415.147963668325</v>
      </c>
      <c r="AU32" s="71">
        <v>30730.325227072961</v>
      </c>
      <c r="AV32" s="71">
        <v>35594.315851157342</v>
      </c>
      <c r="AW32" s="72">
        <v>780</v>
      </c>
      <c r="AX32" s="73">
        <f t="shared" si="0"/>
        <v>24670.926164664517</v>
      </c>
      <c r="BA32" s="18">
        <v>14759.302666276004</v>
      </c>
      <c r="BB32" s="18">
        <v>16873.923234690887</v>
      </c>
      <c r="BC32" s="18">
        <v>18161.822443598008</v>
      </c>
      <c r="BD32" s="18">
        <v>23648.373864635218</v>
      </c>
      <c r="BE32" s="18">
        <v>27800.410196308236</v>
      </c>
      <c r="BF32" s="1">
        <v>745</v>
      </c>
      <c r="BG32" s="73">
        <f t="shared" si="1"/>
        <v>18315.940814532671</v>
      </c>
      <c r="BJ32" s="71">
        <v>15978.64049223557</v>
      </c>
      <c r="BK32" s="71">
        <v>18276.325813067684</v>
      </c>
      <c r="BL32" s="71">
        <v>19775.564019923822</v>
      </c>
      <c r="BM32" s="71">
        <v>25505.332552007032</v>
      </c>
      <c r="BN32" s="71">
        <v>29895.0776443012</v>
      </c>
      <c r="BO32" s="72">
        <v>780</v>
      </c>
      <c r="BP32" s="73">
        <f t="shared" si="2"/>
        <v>19823.150600644592</v>
      </c>
    </row>
    <row r="33" spans="1:68" x14ac:dyDescent="0.2">
      <c r="A33" s="82" t="s">
        <v>136</v>
      </c>
      <c r="B33" s="75">
        <f>0.018*0.35</f>
        <v>6.2999999999999992E-3</v>
      </c>
      <c r="C33" s="76">
        <v>6800</v>
      </c>
      <c r="D33" s="126">
        <v>20300</v>
      </c>
      <c r="E33" s="76">
        <v>17472</v>
      </c>
      <c r="F33" s="77">
        <f t="shared" si="3"/>
        <v>42.839999999999996</v>
      </c>
      <c r="G33" s="77">
        <f t="shared" si="4"/>
        <v>127.88999999999999</v>
      </c>
      <c r="H33" s="77">
        <f t="shared" si="5"/>
        <v>110.07359999999998</v>
      </c>
      <c r="I33" s="83">
        <v>12.24</v>
      </c>
      <c r="J33" s="83">
        <v>12.24</v>
      </c>
      <c r="K33" s="83">
        <v>12.24</v>
      </c>
      <c r="L33"/>
      <c r="M33"/>
      <c r="N33"/>
      <c r="O33"/>
      <c r="T33" s="56"/>
      <c r="U33" s="57"/>
      <c r="V33" s="57"/>
      <c r="W33" s="58"/>
      <c r="X33" s="58"/>
      <c r="Y33" s="56"/>
      <c r="Z33" s="57"/>
      <c r="AA33" s="57"/>
      <c r="AB33" s="58"/>
      <c r="AC33" s="58"/>
      <c r="AD33" s="56"/>
      <c r="AE33" s="57"/>
      <c r="AF33" s="59"/>
      <c r="AQ33" s="55"/>
      <c r="AR33" s="71">
        <v>19523.556987987107</v>
      </c>
      <c r="AS33" s="71">
        <v>22414.415470260767</v>
      </c>
      <c r="AT33" s="71">
        <v>24811.778493993555</v>
      </c>
      <c r="AU33" s="71">
        <v>30019.484324641078</v>
      </c>
      <c r="AV33" s="71">
        <v>34785.203633167301</v>
      </c>
      <c r="AW33" s="72">
        <v>765</v>
      </c>
      <c r="AX33" s="73">
        <f t="shared" si="0"/>
        <v>24078.855845297392</v>
      </c>
      <c r="BA33" s="18">
        <v>14303.428069147378</v>
      </c>
      <c r="BB33" s="18">
        <v>16355.112803984764</v>
      </c>
      <c r="BC33" s="18">
        <v>17609.8447113976</v>
      </c>
      <c r="BD33" s="18">
        <v>22982.390858482275</v>
      </c>
      <c r="BE33" s="18">
        <v>27033.225900966892</v>
      </c>
      <c r="BF33" s="1">
        <v>730</v>
      </c>
      <c r="BG33" s="73">
        <f t="shared" si="1"/>
        <v>17767.764137122766</v>
      </c>
      <c r="BJ33" s="71">
        <v>15521.681804863758</v>
      </c>
      <c r="BK33" s="71">
        <v>17749.956050395547</v>
      </c>
      <c r="BL33" s="71">
        <v>19206.533841195429</v>
      </c>
      <c r="BM33" s="71">
        <v>24829.680632874304</v>
      </c>
      <c r="BN33" s="71">
        <v>29111.807793729859</v>
      </c>
      <c r="BO33" s="72">
        <v>765</v>
      </c>
      <c r="BP33" s="73">
        <f t="shared" si="2"/>
        <v>19266.457661881042</v>
      </c>
    </row>
    <row r="34" spans="1:68" x14ac:dyDescent="0.2">
      <c r="L34"/>
      <c r="M34"/>
      <c r="N34"/>
      <c r="T34" s="56"/>
      <c r="U34" s="57"/>
      <c r="V34" s="57"/>
      <c r="W34" s="58"/>
      <c r="X34" s="58"/>
      <c r="Y34" s="56"/>
      <c r="Z34" s="57"/>
      <c r="AA34" s="57"/>
      <c r="AB34" s="58"/>
      <c r="AC34" s="58"/>
      <c r="AD34" s="56"/>
      <c r="AE34" s="57"/>
      <c r="AF34" s="59"/>
      <c r="AQ34" s="55"/>
      <c r="AR34" s="71">
        <v>19031.292118370937</v>
      </c>
      <c r="AS34" s="71">
        <v>21851.186639320251</v>
      </c>
      <c r="AT34" s="71">
        <v>24208.6141224729</v>
      </c>
      <c r="AU34" s="71">
        <v>29308.672721945502</v>
      </c>
      <c r="AV34" s="71">
        <v>33975.944916495755</v>
      </c>
      <c r="AW34" s="72">
        <v>750</v>
      </c>
      <c r="AX34" s="73">
        <f t="shared" si="0"/>
        <v>23486.930266627602</v>
      </c>
      <c r="BA34" s="18">
        <v>13850.073249340758</v>
      </c>
      <c r="BB34" s="18">
        <v>15838.910049809552</v>
      </c>
      <c r="BC34" s="18">
        <v>17061.265748608264</v>
      </c>
      <c r="BD34" s="18">
        <v>22317.579841781422</v>
      </c>
      <c r="BE34" s="18">
        <v>26267.037796659828</v>
      </c>
      <c r="BF34" s="1">
        <v>715</v>
      </c>
      <c r="BG34" s="73">
        <f t="shared" si="1"/>
        <v>17221.984178142397</v>
      </c>
      <c r="BJ34" s="71">
        <v>15065.807207735132</v>
      </c>
      <c r="BK34" s="71">
        <v>17225.842367418696</v>
      </c>
      <c r="BL34" s="71">
        <v>18638.265455610901</v>
      </c>
      <c r="BM34" s="71">
        <v>24156.196894227956</v>
      </c>
      <c r="BN34" s="71">
        <v>28330.325227072957</v>
      </c>
      <c r="BO34" s="72">
        <v>750</v>
      </c>
      <c r="BP34" s="73">
        <f t="shared" si="2"/>
        <v>18711.52094931146</v>
      </c>
    </row>
    <row r="35" spans="1:68" x14ac:dyDescent="0.2">
      <c r="A35" s="54" t="s">
        <v>105</v>
      </c>
      <c r="F35" s="59">
        <f>+F5+F9+F15+F25+F27+F29+F32</f>
        <v>427.61860316080725</v>
      </c>
      <c r="G35" s="59">
        <f>+G5+G9+G15+G25+G27+G29+G32</f>
        <v>830.62705555104549</v>
      </c>
      <c r="H35" s="59">
        <f>+H5+H9+H15+H25+H27+H29+H32</f>
        <v>967.33359992932537</v>
      </c>
      <c r="I35"/>
      <c r="J35"/>
      <c r="K35"/>
      <c r="L35"/>
      <c r="M35"/>
      <c r="N35"/>
      <c r="T35" s="56"/>
      <c r="U35" s="57"/>
      <c r="V35" s="57"/>
      <c r="W35" s="58"/>
      <c r="X35" s="58"/>
      <c r="Y35" s="56"/>
      <c r="Z35" s="57"/>
      <c r="AA35" s="57"/>
      <c r="AB35" s="58"/>
      <c r="AC35" s="58"/>
      <c r="AD35" s="56"/>
      <c r="AE35" s="57"/>
      <c r="AF35" s="59"/>
      <c r="AQ35" s="55"/>
      <c r="AR35" s="71">
        <v>18539.437445062995</v>
      </c>
      <c r="AS35" s="71">
        <v>21288.192206270145</v>
      </c>
      <c r="AT35" s="71">
        <v>23605.215353061827</v>
      </c>
      <c r="AU35" s="71">
        <v>28598.095517140348</v>
      </c>
      <c r="AV35" s="71">
        <v>33166.510401406391</v>
      </c>
      <c r="AW35" s="72">
        <v>735</v>
      </c>
      <c r="AX35" s="73">
        <f t="shared" si="0"/>
        <v>22895.179314386172</v>
      </c>
      <c r="BA35" s="18">
        <v>13398.388514503369</v>
      </c>
      <c r="BB35" s="18">
        <v>15324.758277175506</v>
      </c>
      <c r="BC35" s="18">
        <v>16514.474069733373</v>
      </c>
      <c r="BD35" s="18">
        <v>21655.464400820394</v>
      </c>
      <c r="BE35" s="18">
        <v>25502.783474948727</v>
      </c>
      <c r="BF35" s="1">
        <v>700</v>
      </c>
      <c r="BG35" s="73">
        <f t="shared" si="1"/>
        <v>16678.229123937886</v>
      </c>
      <c r="BJ35" s="71">
        <v>14612.130090829183</v>
      </c>
      <c r="BK35" s="71">
        <v>16704.189862291241</v>
      </c>
      <c r="BL35" s="71">
        <v>18070.465865807208</v>
      </c>
      <c r="BM35" s="71">
        <v>23484.793436859072</v>
      </c>
      <c r="BN35" s="71">
        <v>27550.395546440082</v>
      </c>
      <c r="BO35" s="72">
        <v>735</v>
      </c>
      <c r="BP35" s="73">
        <f t="shared" si="2"/>
        <v>18158.582185760333</v>
      </c>
    </row>
    <row r="36" spans="1:68" x14ac:dyDescent="0.2">
      <c r="A36" s="74" t="s">
        <v>37</v>
      </c>
      <c r="B36" s="85">
        <f>1/((1/0.4)+0.08)</f>
        <v>0.38759689922480617</v>
      </c>
      <c r="C36" s="76">
        <v>94</v>
      </c>
      <c r="D36" s="76">
        <v>149</v>
      </c>
      <c r="E36" s="76">
        <v>315</v>
      </c>
      <c r="F36" s="77">
        <f>F24</f>
        <v>36.434108527131777</v>
      </c>
      <c r="G36" s="77">
        <f>G24</f>
        <v>141.86046511627904</v>
      </c>
      <c r="H36" s="77">
        <f>H24</f>
        <v>122.09302325581395</v>
      </c>
      <c r="I36"/>
      <c r="J36"/>
      <c r="K36" t="s">
        <v>106</v>
      </c>
      <c r="L36"/>
      <c r="M36"/>
      <c r="N36"/>
      <c r="T36" s="56"/>
      <c r="U36" s="57"/>
      <c r="V36" s="57"/>
      <c r="W36" s="58"/>
      <c r="X36" s="58"/>
      <c r="Y36" s="56"/>
      <c r="Z36" s="57"/>
      <c r="AA36" s="57"/>
      <c r="AB36" s="58"/>
      <c r="AC36" s="58"/>
      <c r="AD36" s="56"/>
      <c r="AE36" s="57"/>
      <c r="AF36" s="59"/>
      <c r="AQ36" s="55"/>
      <c r="AR36" s="71">
        <v>18047.670670963962</v>
      </c>
      <c r="AS36" s="71">
        <v>20725.520070319366</v>
      </c>
      <c r="AT36" s="71">
        <v>23001.640785232936</v>
      </c>
      <c r="AU36" s="71">
        <v>27888.455903896869</v>
      </c>
      <c r="AV36" s="71">
        <v>32357.310284207444</v>
      </c>
      <c r="AW36" s="72">
        <v>720</v>
      </c>
      <c r="AX36" s="73">
        <f t="shared" ref="AX36:AX67" si="9">(AR$2*AR36)+(AS$2*AS36)+(AT$2*AT36)+(AU$2*AU36)+(AV$2*AV36)</f>
        <v>22303.716085555228</v>
      </c>
      <c r="BA36" s="18">
        <v>12949.545854087315</v>
      </c>
      <c r="BB36" s="18">
        <v>14814.474069733375</v>
      </c>
      <c r="BC36" s="18">
        <v>15968.825080574275</v>
      </c>
      <c r="BD36" s="18">
        <v>20995.634339290948</v>
      </c>
      <c r="BE36" s="18">
        <v>24740.697333723998</v>
      </c>
      <c r="BF36" s="1">
        <v>685</v>
      </c>
      <c r="BG36" s="73">
        <f t="shared" ref="BG36:BG67" si="10">(BA$2*BA36)+(BB$2*BB36)+(BC$2*BC36)+(BD$2*BD36)+(BE$2*BE36)</f>
        <v>16137.388514503371</v>
      </c>
      <c r="BJ36" s="71">
        <v>14159.62496337533</v>
      </c>
      <c r="BK36" s="71">
        <v>16184.705537650163</v>
      </c>
      <c r="BL36" s="71">
        <v>17505.479050688544</v>
      </c>
      <c r="BM36" s="71">
        <v>22815.001464986817</v>
      </c>
      <c r="BN36" s="71">
        <v>26771.19835921477</v>
      </c>
      <c r="BO36" s="72">
        <v>720</v>
      </c>
      <c r="BP36" s="73">
        <f t="shared" ref="BP36:BP67" si="11">(BJ$2*BJ36)+(BK$2*BK36)+(BL$2*BL36)+(BM$2*BM36)+(BN$2*BN36)</f>
        <v>17607.539408145331</v>
      </c>
    </row>
    <row r="37" spans="1:68" x14ac:dyDescent="0.2">
      <c r="A37" s="78" t="s">
        <v>107</v>
      </c>
      <c r="B37" s="75">
        <f>1/((G37*C37)+(H37*D37))</f>
        <v>0.11828793774319066</v>
      </c>
      <c r="C37" s="87">
        <v>0.45</v>
      </c>
      <c r="D37" s="87">
        <f>1-C37</f>
        <v>0.55000000000000004</v>
      </c>
      <c r="E37" s="76">
        <v>0.28499999999999998</v>
      </c>
      <c r="F37" s="88">
        <v>0.08</v>
      </c>
      <c r="G37" s="77">
        <f t="shared" ref="G37:H39" si="12">1/E37</f>
        <v>3.5087719298245617</v>
      </c>
      <c r="H37" s="77">
        <f t="shared" si="12"/>
        <v>12.5</v>
      </c>
      <c r="I37" s="89">
        <f>1/B37</f>
        <v>8.4539473684210531</v>
      </c>
      <c r="K37" t="s">
        <v>108</v>
      </c>
      <c r="L37"/>
      <c r="M37"/>
      <c r="T37" s="56"/>
      <c r="U37" s="57"/>
      <c r="V37" s="57"/>
      <c r="W37" s="58"/>
      <c r="X37" s="58"/>
      <c r="Y37" s="56"/>
      <c r="Z37" s="57"/>
      <c r="AA37" s="57"/>
      <c r="AB37" s="58"/>
      <c r="AC37" s="58"/>
      <c r="AD37" s="56"/>
      <c r="AE37" s="57"/>
      <c r="AF37" s="59"/>
      <c r="AQ37" s="55"/>
      <c r="AR37" s="71">
        <v>17556.108995019047</v>
      </c>
      <c r="AS37" s="71">
        <v>20163.170231467917</v>
      </c>
      <c r="AT37" s="71">
        <v>22399.12100791093</v>
      </c>
      <c r="AU37" s="71">
        <v>27179.314386170525</v>
      </c>
      <c r="AV37" s="71">
        <v>31548.110167008497</v>
      </c>
      <c r="AW37" s="72">
        <v>705</v>
      </c>
      <c r="AX37" s="73">
        <f t="shared" si="9"/>
        <v>21712.668619982422</v>
      </c>
      <c r="BA37" s="18">
        <v>12503.310870202169</v>
      </c>
      <c r="BB37" s="18">
        <v>14307.03193671257</v>
      </c>
      <c r="BC37" s="18">
        <v>15426.164664518021</v>
      </c>
      <c r="BD37" s="18">
        <v>20337.796659830063</v>
      </c>
      <c r="BE37" s="18">
        <v>23978.992089071202</v>
      </c>
      <c r="BF37" s="1">
        <v>670</v>
      </c>
      <c r="BG37" s="73">
        <f t="shared" si="10"/>
        <v>15599.089950190448</v>
      </c>
      <c r="BJ37" s="71">
        <v>13707.881629065339</v>
      </c>
      <c r="BK37" s="71">
        <v>15668.590682683856</v>
      </c>
      <c r="BL37" s="71">
        <v>16943.363609727512</v>
      </c>
      <c r="BM37" s="71">
        <v>22147.289774392029</v>
      </c>
      <c r="BN37" s="71">
        <v>25994.550249047759</v>
      </c>
      <c r="BO37" s="72">
        <v>705</v>
      </c>
      <c r="BP37" s="73">
        <f t="shared" si="11"/>
        <v>17059.027248754759</v>
      </c>
    </row>
    <row r="38" spans="1:68" x14ac:dyDescent="0.2">
      <c r="A38" s="78" t="s">
        <v>110</v>
      </c>
      <c r="B38" s="75">
        <f>1/((G38*C38)+(H38*D38))</f>
        <v>0.10596804511278195</v>
      </c>
      <c r="C38" s="87">
        <v>0.87</v>
      </c>
      <c r="D38" s="87">
        <f>1-C38</f>
        <v>0.13</v>
      </c>
      <c r="E38" s="76">
        <v>0.123</v>
      </c>
      <c r="F38" s="76">
        <v>5.5E-2</v>
      </c>
      <c r="G38" s="77">
        <f t="shared" si="12"/>
        <v>8.1300813008130088</v>
      </c>
      <c r="H38" s="77">
        <f t="shared" si="12"/>
        <v>18.181818181818183</v>
      </c>
      <c r="I38" s="89">
        <f>1/B38</f>
        <v>9.4368070953436813</v>
      </c>
      <c r="K38" t="s">
        <v>111</v>
      </c>
      <c r="L38"/>
      <c r="M38"/>
      <c r="T38" s="56"/>
      <c r="U38" s="57"/>
      <c r="V38" s="57"/>
      <c r="W38" s="58"/>
      <c r="X38" s="58"/>
      <c r="Y38" s="56"/>
      <c r="Z38" s="57"/>
      <c r="AA38" s="57"/>
      <c r="AB38" s="58"/>
      <c r="AC38" s="58"/>
      <c r="AD38" s="56"/>
      <c r="AE38" s="57"/>
      <c r="AF38" s="59"/>
      <c r="AQ38" s="55"/>
      <c r="AR38" s="71">
        <v>17064.928215646061</v>
      </c>
      <c r="AS38" s="71">
        <v>19601.259888661003</v>
      </c>
      <c r="AT38" s="71">
        <v>21797.392323469088</v>
      </c>
      <c r="AU38" s="71">
        <v>26470.876062115443</v>
      </c>
      <c r="AV38" s="71">
        <v>30739.173747436274</v>
      </c>
      <c r="AW38" s="72">
        <v>690</v>
      </c>
      <c r="AX38" s="73">
        <f t="shared" si="9"/>
        <v>21122.130676823908</v>
      </c>
      <c r="BA38" s="18">
        <v>12059.273366539703</v>
      </c>
      <c r="BB38" s="18">
        <v>13802.519777322004</v>
      </c>
      <c r="BC38" s="18">
        <v>14886.082625256373</v>
      </c>
      <c r="BD38" s="18">
        <v>19681.541166129507</v>
      </c>
      <c r="BE38" s="18">
        <v>23218.488133606799</v>
      </c>
      <c r="BF38" s="1">
        <v>655</v>
      </c>
      <c r="BG38" s="73">
        <f t="shared" si="10"/>
        <v>15063.21623205391</v>
      </c>
      <c r="BJ38" s="71">
        <v>13257.632581306771</v>
      </c>
      <c r="BK38" s="71">
        <v>15156.460591854675</v>
      </c>
      <c r="BL38" s="71">
        <v>16382.625256372694</v>
      </c>
      <c r="BM38" s="71">
        <v>21478.84559038969</v>
      </c>
      <c r="BN38" s="71">
        <v>25221.242308819223</v>
      </c>
      <c r="BO38" s="72">
        <v>690</v>
      </c>
      <c r="BP38" s="73">
        <f t="shared" si="11"/>
        <v>16512.864342220921</v>
      </c>
    </row>
    <row r="39" spans="1:68" ht="15" thickBot="1" x14ac:dyDescent="0.25">
      <c r="A39" s="1" t="s">
        <v>112</v>
      </c>
      <c r="B39" s="75">
        <f>1/((G39*C39)+(H39*D39))</f>
        <v>0.1543716268311488</v>
      </c>
      <c r="C39" s="87">
        <v>0.7</v>
      </c>
      <c r="D39" s="87">
        <f>1-C39</f>
        <v>0.30000000000000004</v>
      </c>
      <c r="E39" s="76">
        <v>0.21299999999999999</v>
      </c>
      <c r="F39" s="76">
        <v>9.4E-2</v>
      </c>
      <c r="G39" s="77">
        <f t="shared" si="12"/>
        <v>4.694835680751174</v>
      </c>
      <c r="H39" s="77">
        <f t="shared" si="12"/>
        <v>10.638297872340425</v>
      </c>
      <c r="I39" s="89">
        <f>1/B39</f>
        <v>6.4778743382279496</v>
      </c>
      <c r="T39" s="56"/>
      <c r="U39" s="57"/>
      <c r="V39" s="57"/>
      <c r="W39" s="58"/>
      <c r="X39" s="58"/>
      <c r="Y39" s="56"/>
      <c r="Z39" s="57"/>
      <c r="AA39" s="57"/>
      <c r="AB39" s="58"/>
      <c r="AC39" s="58"/>
      <c r="AD39" s="56"/>
      <c r="AE39" s="57"/>
      <c r="AF39" s="59"/>
      <c r="AQ39" s="55"/>
      <c r="AR39" s="71">
        <v>16574.392030471729</v>
      </c>
      <c r="AS39" s="71">
        <v>19039.964840316439</v>
      </c>
      <c r="AT39" s="71">
        <v>21196.103135071786</v>
      </c>
      <c r="AU39" s="71">
        <v>25763.902724875476</v>
      </c>
      <c r="AV39" s="71">
        <v>29930.442426018169</v>
      </c>
      <c r="AW39" s="72">
        <v>675</v>
      </c>
      <c r="AX39" s="73">
        <f t="shared" si="9"/>
        <v>20532.290360386756</v>
      </c>
      <c r="BA39" s="18">
        <v>11618.048637562262</v>
      </c>
      <c r="BB39" s="18">
        <v>13299.73630237328</v>
      </c>
      <c r="BC39" s="18">
        <v>14348.491063580428</v>
      </c>
      <c r="BD39" s="18">
        <v>19026.076765309113</v>
      </c>
      <c r="BE39" s="18">
        <v>22461.148549663052</v>
      </c>
      <c r="BF39" s="1">
        <v>640</v>
      </c>
      <c r="BG39" s="73">
        <f t="shared" si="10"/>
        <v>14529.34778786991</v>
      </c>
      <c r="BJ39" s="71">
        <v>12808.467623791388</v>
      </c>
      <c r="BK39" s="71">
        <v>14646.586580720776</v>
      </c>
      <c r="BL39" s="71">
        <v>15823.93788455904</v>
      </c>
      <c r="BM39" s="71">
        <v>20810.694403750367</v>
      </c>
      <c r="BN39" s="71">
        <v>24450.864342220921</v>
      </c>
      <c r="BO39" s="72">
        <v>675</v>
      </c>
      <c r="BP39" s="73">
        <f t="shared" si="11"/>
        <v>15968.438324055085</v>
      </c>
    </row>
    <row r="40" spans="1:68" ht="15.75" thickBot="1" x14ac:dyDescent="0.3">
      <c r="A40" s="90" t="s">
        <v>113</v>
      </c>
      <c r="B40" s="212"/>
      <c r="C40" s="213"/>
      <c r="D40"/>
      <c r="E40"/>
      <c r="F40"/>
      <c r="G40"/>
      <c r="H40"/>
      <c r="I40"/>
      <c r="J40"/>
      <c r="T40" s="54" t="s">
        <v>122</v>
      </c>
      <c r="Y40" s="54" t="s">
        <v>145</v>
      </c>
      <c r="AD40" s="54" t="s">
        <v>123</v>
      </c>
      <c r="AQ40" s="55"/>
      <c r="AR40" s="71">
        <v>16084.324641078232</v>
      </c>
      <c r="AS40" s="71">
        <v>18479.372985643131</v>
      </c>
      <c r="AT40" s="71">
        <v>20595.370641664227</v>
      </c>
      <c r="AU40" s="71">
        <v>25057.544682097861</v>
      </c>
      <c r="AV40" s="71">
        <v>29122.209200117202</v>
      </c>
      <c r="AW40" s="72">
        <v>660</v>
      </c>
      <c r="AX40" s="73">
        <f t="shared" si="9"/>
        <v>19943.05889246997</v>
      </c>
      <c r="BA40" s="18">
        <v>11179.167887489013</v>
      </c>
      <c r="BB40" s="18">
        <v>12799.560503955465</v>
      </c>
      <c r="BC40" s="18">
        <v>13813.243480808673</v>
      </c>
      <c r="BD40" s="18">
        <v>18371.930852622329</v>
      </c>
      <c r="BE40" s="18">
        <v>21707.090536185176</v>
      </c>
      <c r="BF40" s="1">
        <v>625</v>
      </c>
      <c r="BG40" s="73">
        <f t="shared" si="10"/>
        <v>13997.841781423967</v>
      </c>
      <c r="BJ40" s="71">
        <v>12362.877234104893</v>
      </c>
      <c r="BK40" s="71">
        <v>14138.353354819807</v>
      </c>
      <c r="BL40" s="71">
        <v>15268.473483738648</v>
      </c>
      <c r="BM40" s="71">
        <v>20143.803105772051</v>
      </c>
      <c r="BN40" s="71">
        <v>23683.973044242601</v>
      </c>
      <c r="BO40" s="72">
        <v>660</v>
      </c>
      <c r="BP40" s="73">
        <f t="shared" si="11"/>
        <v>15426.330794022855</v>
      </c>
    </row>
    <row r="41" spans="1:68" ht="15" thickBot="1" x14ac:dyDescent="0.25">
      <c r="A41" s="91" t="s">
        <v>114</v>
      </c>
      <c r="B41" s="92" t="s">
        <v>80</v>
      </c>
      <c r="C41" s="92" t="s">
        <v>81</v>
      </c>
      <c r="D41" s="92" t="s">
        <v>82</v>
      </c>
      <c r="E41" s="92" t="s">
        <v>115</v>
      </c>
      <c r="F41" s="92" t="s">
        <v>84</v>
      </c>
      <c r="G41" s="93"/>
      <c r="H41"/>
      <c r="I41"/>
      <c r="J41"/>
      <c r="T41" s="54" t="s">
        <v>86</v>
      </c>
      <c r="U41" s="54" t="s">
        <v>0</v>
      </c>
      <c r="V41" s="54" t="s">
        <v>125</v>
      </c>
      <c r="W41" s="54" t="s">
        <v>126</v>
      </c>
      <c r="X41" s="54" t="s">
        <v>127</v>
      </c>
      <c r="Y41" s="54" t="s">
        <v>86</v>
      </c>
      <c r="Z41" s="54" t="s">
        <v>0</v>
      </c>
      <c r="AA41" s="54" t="s">
        <v>125</v>
      </c>
      <c r="AB41" s="54" t="s">
        <v>126</v>
      </c>
      <c r="AC41" s="54" t="s">
        <v>127</v>
      </c>
      <c r="AD41" s="54" t="s">
        <v>86</v>
      </c>
      <c r="AE41" s="54" t="s">
        <v>0</v>
      </c>
      <c r="AF41" s="54" t="s">
        <v>125</v>
      </c>
      <c r="AG41" s="54" t="s">
        <v>126</v>
      </c>
      <c r="AH41" s="54" t="s">
        <v>127</v>
      </c>
      <c r="AQ41" s="55"/>
      <c r="AR41" s="71">
        <v>15595.106944037505</v>
      </c>
      <c r="AS41" s="71">
        <v>17919.806621740405</v>
      </c>
      <c r="AT41" s="71">
        <v>19995.692938763554</v>
      </c>
      <c r="AU41" s="71">
        <v>24351.626135364786</v>
      </c>
      <c r="AV41" s="71">
        <v>28314.474069733376</v>
      </c>
      <c r="AW41" s="72">
        <v>645</v>
      </c>
      <c r="AX41" s="73">
        <f t="shared" si="9"/>
        <v>19354.702607676532</v>
      </c>
      <c r="BA41" s="18">
        <v>10742.777615001465</v>
      </c>
      <c r="BB41" s="18">
        <v>12301.963082332259</v>
      </c>
      <c r="BC41" s="18">
        <v>13280.632874304132</v>
      </c>
      <c r="BD41" s="18">
        <v>17718.986229123941</v>
      </c>
      <c r="BE41" s="18">
        <v>20956.431292118374</v>
      </c>
      <c r="BF41" s="1">
        <v>610</v>
      </c>
      <c r="BG41" s="73">
        <f t="shared" si="10"/>
        <v>13468.7480222678</v>
      </c>
      <c r="BJ41" s="71">
        <v>11918.429534134193</v>
      </c>
      <c r="BK41" s="71">
        <v>13630.559624963376</v>
      </c>
      <c r="BL41" s="71">
        <v>14715.411661295047</v>
      </c>
      <c r="BM41" s="71">
        <v>19477.409903310869</v>
      </c>
      <c r="BN41" s="71">
        <v>22919.542924113681</v>
      </c>
      <c r="BO41" s="72">
        <v>645</v>
      </c>
      <c r="BP41" s="73">
        <f t="shared" si="11"/>
        <v>14885.227951948435</v>
      </c>
    </row>
    <row r="42" spans="1:68" ht="15" thickBot="1" x14ac:dyDescent="0.25">
      <c r="A42" s="95" t="s">
        <v>116</v>
      </c>
      <c r="B42" s="96">
        <f>INDEX($B44:$F53,$A53,B53)</f>
        <v>0.2</v>
      </c>
      <c r="C42" s="96">
        <f>INDEX($B44:$F53,$A53,C53)</f>
        <v>0.44</v>
      </c>
      <c r="D42" s="96">
        <f>INDEX($B44:$F53,$A53,D53)</f>
        <v>0.15</v>
      </c>
      <c r="E42" s="96">
        <f>INDEX($B44:$F53,$A53,E53)</f>
        <v>0.15</v>
      </c>
      <c r="F42" s="96">
        <f>INDEX($B44:$F53,$A53,F53)</f>
        <v>0.06</v>
      </c>
      <c r="G42" s="97">
        <f>SUM(B42:F42)</f>
        <v>1</v>
      </c>
      <c r="H42"/>
      <c r="I42"/>
      <c r="J42"/>
      <c r="O42"/>
      <c r="P42" s="125"/>
      <c r="T42" s="54" t="s">
        <v>129</v>
      </c>
      <c r="U42" s="59">
        <f>F35</f>
        <v>427.61860316080725</v>
      </c>
      <c r="V42" s="54">
        <v>0</v>
      </c>
      <c r="W42" s="59">
        <f t="shared" ref="W42:W53" ca="1" si="13">IF(ISNA(INDEX($AW$4:$AX$74,MATCH(U42,$AW$4:$AW$74,0),1)),TREND(OFFSET(INDEX($AW$4:$AX$74,MATCH(U42,$AW$4:$AW$74,-1),2),0,0,2,1),OFFSET(INDEX($AW$4:$AX$74,MATCH(U42,$AW$4:$AW$74,-1),1),0,0,2,1),U42),INDEX($AW$4:$AX$74,MATCH(U42,$AW$4:$AW$74,0),2))</f>
        <v>10940.871589493667</v>
      </c>
      <c r="X42" s="59"/>
      <c r="Y42" s="54" t="s">
        <v>129</v>
      </c>
      <c r="Z42" s="59">
        <f>G35</f>
        <v>830.62705555104549</v>
      </c>
      <c r="AA42" s="54">
        <v>0</v>
      </c>
      <c r="AB42" s="59">
        <f t="shared" ref="AB42:AB53" ca="1" si="14">IF(ISNA(INDEX($BF$4:$BG$73,MATCH(Z42,$BF$4:$BF$73,0),1)),TREND(OFFSET(INDEX($BF$4:$BG$73,MATCH(Z42,$BF$4:$BF$73,-1),2),0,0,2,1),OFFSET(INDEX($BF$4:$BG$73,MATCH(Z42,$BF$4:$BF$73,-1),1),0,0,2,1),Z42),INDEX($BF$4:$BG$73,MATCH(Z42,$BF$4:$BF$73,0),2))</f>
        <v>21468.270928360918</v>
      </c>
      <c r="AC42" s="54">
        <v>0</v>
      </c>
      <c r="AD42" s="54" t="s">
        <v>129</v>
      </c>
      <c r="AE42" s="59">
        <f>H35</f>
        <v>967.33359992932537</v>
      </c>
      <c r="AF42" s="54">
        <v>0</v>
      </c>
      <c r="AG42" s="59">
        <f t="shared" ref="AG42:AG55" ca="1" si="15">IF(ISNA(INDEX($BO$4:$BP$74,MATCH(AE42,$BO$4:$BO$74,0),1)),TREND(OFFSET(INDEX($BO$4:$BP$74,MATCH(AE42,$BO$4:$BO$74,-1),2),0,0,2,1),OFFSET(INDEX($BO$4:$BP$74,MATCH(AE42,$BO$4:$BO$74,-1),1),0,0,2,1),AE42),INDEX($BO$4:$BP$74,MATCH(AE42,$BO$4:$BO$74,0),2))</f>
        <v>26884.192395203787</v>
      </c>
      <c r="AH42" s="54">
        <v>0</v>
      </c>
      <c r="AQ42" s="55"/>
      <c r="AR42" s="71">
        <v>15107.237034866686</v>
      </c>
      <c r="AS42" s="71">
        <v>17361.412247289776</v>
      </c>
      <c r="AT42" s="71">
        <v>19396.630530325227</v>
      </c>
      <c r="AU42" s="71">
        <v>23645.883387049515</v>
      </c>
      <c r="AV42" s="71">
        <v>27507.11983592148</v>
      </c>
      <c r="AW42" s="72">
        <v>630</v>
      </c>
      <c r="AX42" s="73">
        <f t="shared" si="9"/>
        <v>18767.273073542339</v>
      </c>
      <c r="BA42" s="18">
        <v>10307.676530911222</v>
      </c>
      <c r="BB42" s="18">
        <v>11805.625549370056</v>
      </c>
      <c r="BC42" s="18">
        <v>12749.956050395547</v>
      </c>
      <c r="BD42" s="18">
        <v>17067.360093759158</v>
      </c>
      <c r="BE42" s="18">
        <v>20207.559331966011</v>
      </c>
      <c r="BF42" s="1">
        <v>595</v>
      </c>
      <c r="BG42" s="73">
        <f t="shared" si="10"/>
        <v>12941.061529446235</v>
      </c>
      <c r="BJ42" s="71">
        <v>11474.626428362146</v>
      </c>
      <c r="BK42" s="71">
        <v>13124.846176384413</v>
      </c>
      <c r="BL42" s="71">
        <v>14164.928215646061</v>
      </c>
      <c r="BM42" s="71">
        <v>18813.82947553472</v>
      </c>
      <c r="BN42" s="71">
        <v>22156.108995019047</v>
      </c>
      <c r="BO42" s="72">
        <v>630</v>
      </c>
      <c r="BP42" s="73">
        <f t="shared" si="11"/>
        <v>14346.03779665983</v>
      </c>
    </row>
    <row r="43" spans="1:68" x14ac:dyDescent="0.2">
      <c r="A43" s="98" t="s">
        <v>117</v>
      </c>
      <c r="B43" s="99"/>
      <c r="C43" s="99"/>
      <c r="D43" s="99"/>
      <c r="E43" s="99"/>
      <c r="F43" s="99"/>
      <c r="G43" s="100"/>
      <c r="H43"/>
      <c r="I43"/>
      <c r="J43"/>
      <c r="L43" s="84" t="s">
        <v>34</v>
      </c>
      <c r="O43"/>
      <c r="P43" s="125"/>
      <c r="T43" s="106" t="str">
        <f t="shared" ref="T43:T53" si="16">T18</f>
        <v>FLOOR R19</v>
      </c>
      <c r="U43" s="59">
        <f t="shared" ref="U43:U53" si="17">U42-V18</f>
        <v>372.39576481494259</v>
      </c>
      <c r="V43" s="58">
        <f t="shared" ref="V43:V53" si="18">W18</f>
        <v>678.83113307780752</v>
      </c>
      <c r="W43" s="59">
        <f t="shared" ca="1" si="13"/>
        <v>8867.5759615533989</v>
      </c>
      <c r="X43" s="59">
        <f t="shared" ref="X43:X53" ca="1" si="19">W42-W43</f>
        <v>2073.2956279402679</v>
      </c>
      <c r="Y43" s="57" t="str">
        <f t="shared" ref="Y43:Y53" si="20">Y18</f>
        <v>FLOOR R19</v>
      </c>
      <c r="Z43" s="59">
        <f t="shared" ref="Z43:Z53" si="21">Z42-AA18</f>
        <v>742.9201946487899</v>
      </c>
      <c r="AA43" s="58">
        <f t="shared" ref="AA43:AA53" si="22">AB18</f>
        <v>1078.1435643000473</v>
      </c>
      <c r="AB43" s="59">
        <f t="shared" ca="1" si="14"/>
        <v>18239.934095393626</v>
      </c>
      <c r="AC43" s="59">
        <f t="shared" ref="AC43:AC54" ca="1" si="23">AB42-AB43</f>
        <v>3228.3368329672921</v>
      </c>
      <c r="AD43" s="106" t="str">
        <f t="shared" ref="AD43:AD55" si="24">AD16</f>
        <v>BSMT WALL R11</v>
      </c>
      <c r="AE43" s="59">
        <f t="shared" ref="AE43:AE55" si="25">AE42-AF16</f>
        <v>794.1015999293254</v>
      </c>
      <c r="AF43" s="58">
        <f t="shared" ref="AF43:AF55" si="26">AG16</f>
        <v>299.75399999999996</v>
      </c>
      <c r="AG43" s="59">
        <f t="shared" ca="1" si="15"/>
        <v>20347.872249582324</v>
      </c>
      <c r="AH43" s="59">
        <f t="shared" ref="AH43:AH55" ca="1" si="27">AG42-AG43</f>
        <v>6536.3201456214629</v>
      </c>
      <c r="AQ43" s="55"/>
      <c r="AR43" s="71">
        <v>14620.070319367127</v>
      </c>
      <c r="AS43" s="71">
        <v>16803.926164664521</v>
      </c>
      <c r="AT43" s="71">
        <v>18798.095517140348</v>
      </c>
      <c r="AU43" s="71">
        <v>22940.902431878116</v>
      </c>
      <c r="AV43" s="71">
        <v>26700.498095517141</v>
      </c>
      <c r="AW43" s="72">
        <v>615</v>
      </c>
      <c r="AX43" s="73">
        <f t="shared" si="9"/>
        <v>18180.621154409611</v>
      </c>
      <c r="BA43" s="18">
        <v>9874.6850278347501</v>
      </c>
      <c r="BB43" s="18">
        <v>11314.210372106652</v>
      </c>
      <c r="BC43" s="18">
        <v>12221.97480222678</v>
      </c>
      <c r="BD43" s="18">
        <v>16418.927629651334</v>
      </c>
      <c r="BE43" s="18">
        <v>19461.61734544389</v>
      </c>
      <c r="BF43" s="1">
        <v>580</v>
      </c>
      <c r="BG43" s="73">
        <f t="shared" si="10"/>
        <v>12417.021974802228</v>
      </c>
      <c r="BJ43" s="71">
        <v>11032.229709932612</v>
      </c>
      <c r="BK43" s="71">
        <v>12619.337825959568</v>
      </c>
      <c r="BL43" s="71">
        <v>13616.525051274539</v>
      </c>
      <c r="BM43" s="71">
        <v>18152.973923234691</v>
      </c>
      <c r="BN43" s="71">
        <v>21396.982127160856</v>
      </c>
      <c r="BO43" s="72">
        <v>615</v>
      </c>
      <c r="BP43" s="73">
        <f t="shared" si="11"/>
        <v>13808.198359214768</v>
      </c>
    </row>
    <row r="44" spans="1:68" x14ac:dyDescent="0.2">
      <c r="A44" s="101" t="s">
        <v>118</v>
      </c>
      <c r="B44" s="102">
        <v>0.25</v>
      </c>
      <c r="C44" s="102">
        <v>0.53</v>
      </c>
      <c r="D44" s="102">
        <v>0.22</v>
      </c>
      <c r="E44" s="102">
        <v>0</v>
      </c>
      <c r="F44" s="102">
        <v>0</v>
      </c>
      <c r="G44" s="103">
        <f t="shared" ref="G44:G52" si="28">SUM(B44:F44)</f>
        <v>1</v>
      </c>
      <c r="H44" s="84" t="s">
        <v>119</v>
      </c>
      <c r="I44" s="94">
        <v>850</v>
      </c>
      <c r="J44" s="94">
        <v>2200</v>
      </c>
      <c r="K44" s="94">
        <v>2184</v>
      </c>
      <c r="L44" s="77">
        <f>($I$45*I44)+($J$45*J44)+($K$45*K44)</f>
        <v>2196.8000000000002</v>
      </c>
      <c r="O44"/>
      <c r="P44" s="125"/>
      <c r="T44" s="106" t="str">
        <f t="shared" si="16"/>
        <v>FLOOR R30</v>
      </c>
      <c r="U44" s="59">
        <f t="shared" si="17"/>
        <v>362.19576481494261</v>
      </c>
      <c r="V44" s="58">
        <f t="shared" si="18"/>
        <v>125.7149878609454</v>
      </c>
      <c r="W44" s="59">
        <f t="shared" ca="1" si="13"/>
        <v>8488.9482557227511</v>
      </c>
      <c r="X44" s="59">
        <f t="shared" ca="1" si="19"/>
        <v>378.62770583064776</v>
      </c>
      <c r="Y44" s="57" t="str">
        <f t="shared" si="20"/>
        <v>FLOOR R30</v>
      </c>
      <c r="Z44" s="59">
        <f t="shared" si="21"/>
        <v>726.72019464878986</v>
      </c>
      <c r="AA44" s="58">
        <f t="shared" si="22"/>
        <v>199.66498072032505</v>
      </c>
      <c r="AB44" s="59">
        <f t="shared" ca="1" si="14"/>
        <v>17648.427335119628</v>
      </c>
      <c r="AC44" s="59">
        <f t="shared" ca="1" si="23"/>
        <v>591.50676027399822</v>
      </c>
      <c r="AD44" s="106" t="str">
        <f t="shared" si="24"/>
        <v>BSMT WALL R21</v>
      </c>
      <c r="AE44" s="59">
        <f t="shared" si="25"/>
        <v>775.30959992932537</v>
      </c>
      <c r="AF44" s="58">
        <f t="shared" si="26"/>
        <v>230.58</v>
      </c>
      <c r="AG44" s="59">
        <f t="shared" ca="1" si="15"/>
        <v>19649.076427356551</v>
      </c>
      <c r="AH44" s="59">
        <f t="shared" ca="1" si="27"/>
        <v>698.79582222577301</v>
      </c>
      <c r="AR44" s="71">
        <v>14134.016993847057</v>
      </c>
      <c r="AS44" s="71">
        <v>16246.9088778201</v>
      </c>
      <c r="AT44" s="71">
        <v>18199.970700263697</v>
      </c>
      <c r="AU44" s="71">
        <v>22236.624670377969</v>
      </c>
      <c r="AV44" s="71">
        <v>25894.550249047763</v>
      </c>
      <c r="AW44" s="72">
        <v>600</v>
      </c>
      <c r="AX44" s="73">
        <f t="shared" si="9"/>
        <v>17594.605625549371</v>
      </c>
      <c r="BA44" s="18">
        <v>9444.1254028713738</v>
      </c>
      <c r="BB44" s="18">
        <v>10826.340462935836</v>
      </c>
      <c r="BC44" s="18">
        <v>11695.839437445064</v>
      </c>
      <c r="BD44" s="18">
        <v>15773.630237327865</v>
      </c>
      <c r="BE44" s="18">
        <v>18718.869030178728</v>
      </c>
      <c r="BF44" s="1">
        <v>565</v>
      </c>
      <c r="BG44" s="73">
        <f t="shared" si="10"/>
        <v>11895.967477292705</v>
      </c>
      <c r="BJ44" s="71">
        <v>10592.82156460592</v>
      </c>
      <c r="BK44" s="71">
        <v>12116.378552593027</v>
      </c>
      <c r="BL44" s="71">
        <v>13068.561382947555</v>
      </c>
      <c r="BM44" s="71">
        <v>17495.106944037507</v>
      </c>
      <c r="BN44" s="71">
        <v>20640.521535306187</v>
      </c>
      <c r="BO44" s="72">
        <v>600</v>
      </c>
      <c r="BP44" s="73">
        <f t="shared" si="11"/>
        <v>13272.752417228246</v>
      </c>
    </row>
    <row r="45" spans="1:68" x14ac:dyDescent="0.2">
      <c r="A45" s="101" t="s">
        <v>120</v>
      </c>
      <c r="B45" s="102">
        <v>0</v>
      </c>
      <c r="C45" s="102">
        <v>0</v>
      </c>
      <c r="D45" s="102">
        <v>0.15</v>
      </c>
      <c r="E45" s="102">
        <v>0.85</v>
      </c>
      <c r="F45" s="102">
        <v>0</v>
      </c>
      <c r="G45" s="103">
        <f t="shared" si="28"/>
        <v>1</v>
      </c>
      <c r="H45" s="84" t="s">
        <v>121</v>
      </c>
      <c r="I45" s="21">
        <v>0</v>
      </c>
      <c r="J45" s="21">
        <v>0.8</v>
      </c>
      <c r="K45" s="21">
        <v>0.2</v>
      </c>
      <c r="L45" s="118">
        <f>SUM(I45:K45)</f>
        <v>1</v>
      </c>
      <c r="M45" s="55"/>
      <c r="N45"/>
      <c r="O45"/>
      <c r="P45" s="125"/>
      <c r="T45" s="106" t="str">
        <f t="shared" si="16"/>
        <v>DG Low E WINDOW CL35</v>
      </c>
      <c r="U45" s="59">
        <f t="shared" si="17"/>
        <v>357.76554733839447</v>
      </c>
      <c r="V45" s="58">
        <f t="shared" si="18"/>
        <v>57.527999999999913</v>
      </c>
      <c r="W45" s="59">
        <f t="shared" ca="1" si="13"/>
        <v>8325.1259547143745</v>
      </c>
      <c r="X45" s="59">
        <f t="shared" ca="1" si="19"/>
        <v>163.8223010083766</v>
      </c>
      <c r="Y45" s="57" t="str">
        <f t="shared" si="20"/>
        <v>DG Low E WINDOW CL35</v>
      </c>
      <c r="Z45" s="59">
        <f t="shared" si="21"/>
        <v>719.69782864872957</v>
      </c>
      <c r="AA45" s="58">
        <f t="shared" si="22"/>
        <v>91.18799999999986</v>
      </c>
      <c r="AB45" s="59">
        <f t="shared" ca="1" si="14"/>
        <v>17392.916226622423</v>
      </c>
      <c r="AC45" s="59">
        <f t="shared" ca="1" si="23"/>
        <v>255.51110849720499</v>
      </c>
      <c r="AD45" s="106" t="str">
        <f t="shared" si="24"/>
        <v>FLOOR R19</v>
      </c>
      <c r="AE45" s="59">
        <f t="shared" si="25"/>
        <v>728.01286308722013</v>
      </c>
      <c r="AF45" s="58">
        <f t="shared" si="26"/>
        <v>581.39889985958109</v>
      </c>
      <c r="AG45" s="59">
        <f t="shared" ca="1" si="15"/>
        <v>17901.90143029403</v>
      </c>
      <c r="AH45" s="59">
        <f t="shared" ca="1" si="27"/>
        <v>1747.1749970625206</v>
      </c>
      <c r="AR45" s="71">
        <v>13648.344564898918</v>
      </c>
      <c r="AS45" s="71">
        <v>15690.506885438032</v>
      </c>
      <c r="AT45" s="71">
        <v>17601.670084969235</v>
      </c>
      <c r="AU45" s="71">
        <v>21533.401699384707</v>
      </c>
      <c r="AV45" s="71">
        <v>25088.36800468796</v>
      </c>
      <c r="AW45" s="72">
        <v>585</v>
      </c>
      <c r="AX45" s="73">
        <f t="shared" si="9"/>
        <v>17009.054790506889</v>
      </c>
      <c r="BA45" s="18">
        <v>9018.3123351889844</v>
      </c>
      <c r="BB45" s="18">
        <v>10340.873132141811</v>
      </c>
      <c r="BC45" s="18">
        <v>11171.725754468211</v>
      </c>
      <c r="BD45" s="18">
        <v>15130.501025490772</v>
      </c>
      <c r="BE45" s="18">
        <v>17978.288895399943</v>
      </c>
      <c r="BF45" s="1">
        <v>550</v>
      </c>
      <c r="BG45" s="73">
        <f t="shared" si="10"/>
        <v>11377.677995898037</v>
      </c>
      <c r="BJ45" s="71">
        <v>10153.70641664225</v>
      </c>
      <c r="BK45" s="71">
        <v>11616.466451801934</v>
      </c>
      <c r="BL45" s="71">
        <v>12523.32259009669</v>
      </c>
      <c r="BM45" s="71">
        <v>16839.87694110753</v>
      </c>
      <c r="BN45" s="71">
        <v>19885.145033694698</v>
      </c>
      <c r="BO45" s="72">
        <v>585</v>
      </c>
      <c r="BP45" s="73">
        <f t="shared" si="11"/>
        <v>12739.575153823616</v>
      </c>
    </row>
    <row r="46" spans="1:68" x14ac:dyDescent="0.2">
      <c r="A46" s="101" t="s">
        <v>124</v>
      </c>
      <c r="B46" s="102">
        <v>0</v>
      </c>
      <c r="C46" s="102">
        <v>0</v>
      </c>
      <c r="D46" s="102">
        <v>0</v>
      </c>
      <c r="E46" s="102">
        <v>0</v>
      </c>
      <c r="F46" s="102">
        <v>1</v>
      </c>
      <c r="G46" s="103">
        <f t="shared" si="28"/>
        <v>1</v>
      </c>
      <c r="N46"/>
      <c r="O46"/>
      <c r="P46" s="125"/>
      <c r="T46" s="106" t="str">
        <f t="shared" si="16"/>
        <v>WALL R11</v>
      </c>
      <c r="U46" s="59">
        <f t="shared" si="17"/>
        <v>308.86452960516397</v>
      </c>
      <c r="V46" s="58">
        <f t="shared" si="18"/>
        <v>654.11803274539295</v>
      </c>
      <c r="W46" s="59">
        <f t="shared" ca="1" si="13"/>
        <v>6546.9369260453223</v>
      </c>
      <c r="X46" s="59">
        <f t="shared" ca="1" si="19"/>
        <v>1778.1890286690523</v>
      </c>
      <c r="Y46" s="57" t="str">
        <f t="shared" si="20"/>
        <v>WALL R11</v>
      </c>
      <c r="Z46" s="59">
        <f t="shared" si="21"/>
        <v>658.66211392243815</v>
      </c>
      <c r="AA46" s="58">
        <f t="shared" si="22"/>
        <v>816.43621124147205</v>
      </c>
      <c r="AB46" s="59">
        <f t="shared" ca="1" si="14"/>
        <v>15194.044938977677</v>
      </c>
      <c r="AC46" s="59">
        <f t="shared" ca="1" si="23"/>
        <v>2198.8712876447462</v>
      </c>
      <c r="AD46" s="106" t="str">
        <f t="shared" si="24"/>
        <v>FLOOR R30</v>
      </c>
      <c r="AE46" s="59">
        <f t="shared" si="25"/>
        <v>719.27686308722014</v>
      </c>
      <c r="AF46" s="58">
        <f t="shared" si="26"/>
        <v>107.67118960325676</v>
      </c>
      <c r="AG46" s="59">
        <f t="shared" ca="1" si="15"/>
        <v>17581.096115507738</v>
      </c>
      <c r="AH46" s="59">
        <f t="shared" ca="1" si="27"/>
        <v>320.805314786292</v>
      </c>
      <c r="AR46" s="71">
        <v>13163.697626721359</v>
      </c>
      <c r="AS46" s="71">
        <v>15134.544389100498</v>
      </c>
      <c r="AT46" s="71">
        <v>17003.721066510403</v>
      </c>
      <c r="AU46" s="71">
        <v>20830.706123644886</v>
      </c>
      <c r="AV46" s="71">
        <v>24282.156460591857</v>
      </c>
      <c r="AW46" s="72">
        <v>570</v>
      </c>
      <c r="AX46" s="73">
        <f t="shared" si="9"/>
        <v>16424.032522707297</v>
      </c>
      <c r="BA46" s="18">
        <v>8595.3413419279241</v>
      </c>
      <c r="BB46" s="18">
        <v>9856.6070905361848</v>
      </c>
      <c r="BC46" s="18">
        <v>10650.893641957224</v>
      </c>
      <c r="BD46" s="18">
        <v>14491.473776736011</v>
      </c>
      <c r="BE46" s="18">
        <v>17239.701142689715</v>
      </c>
      <c r="BF46" s="1">
        <v>535</v>
      </c>
      <c r="BG46" s="73">
        <f t="shared" si="10"/>
        <v>10861.712569586874</v>
      </c>
      <c r="BJ46" s="71">
        <v>9715.9683562847931</v>
      </c>
      <c r="BK46" s="71">
        <v>11122.297099326108</v>
      </c>
      <c r="BL46" s="71">
        <v>11980.662174040433</v>
      </c>
      <c r="BM46" s="71">
        <v>16191.23937884559</v>
      </c>
      <c r="BN46" s="71">
        <v>19133.313800175798</v>
      </c>
      <c r="BO46" s="72">
        <v>570</v>
      </c>
      <c r="BP46" s="73">
        <f t="shared" si="11"/>
        <v>12210.788455903898</v>
      </c>
    </row>
    <row r="47" spans="1:68" x14ac:dyDescent="0.2">
      <c r="A47" s="104" t="s">
        <v>128</v>
      </c>
      <c r="B47" s="102">
        <v>0.2</v>
      </c>
      <c r="C47" s="102">
        <v>0.44</v>
      </c>
      <c r="D47" s="102">
        <v>0.15</v>
      </c>
      <c r="E47" s="102">
        <v>0.15</v>
      </c>
      <c r="F47" s="102">
        <v>0.06</v>
      </c>
      <c r="G47" s="103">
        <f t="shared" si="28"/>
        <v>1</v>
      </c>
      <c r="I47" s="105"/>
      <c r="J47" s="105"/>
      <c r="K47" s="105"/>
      <c r="L47"/>
      <c r="M47" s="55"/>
      <c r="N47"/>
      <c r="O47"/>
      <c r="P47" s="125"/>
      <c r="T47" s="106" t="str">
        <f t="shared" si="16"/>
        <v xml:space="preserve">ATTIC R19 </v>
      </c>
      <c r="U47" s="59">
        <f t="shared" si="17"/>
        <v>259.31978252345192</v>
      </c>
      <c r="V47" s="58">
        <f t="shared" si="18"/>
        <v>732.69369630968367</v>
      </c>
      <c r="W47" s="59">
        <f t="shared" ca="1" si="13"/>
        <v>4803.2277263704545</v>
      </c>
      <c r="X47" s="59">
        <f t="shared" ca="1" si="19"/>
        <v>1743.7091996748677</v>
      </c>
      <c r="Y47" s="57" t="str">
        <f t="shared" si="20"/>
        <v xml:space="preserve">ATTIC R19 </v>
      </c>
      <c r="Z47" s="59">
        <f t="shared" si="21"/>
        <v>579.9733979691307</v>
      </c>
      <c r="AA47" s="58">
        <f t="shared" si="22"/>
        <v>1163.6899882565563</v>
      </c>
      <c r="AB47" s="59">
        <f t="shared" ca="1" si="14"/>
        <v>12416.097900947072</v>
      </c>
      <c r="AC47" s="59">
        <f t="shared" ca="1" si="23"/>
        <v>2777.9470380306047</v>
      </c>
      <c r="AD47" s="106" t="str">
        <f t="shared" si="24"/>
        <v>DG Low E WINDOW CL35</v>
      </c>
      <c r="AE47" s="59">
        <f t="shared" si="25"/>
        <v>704.43092154346846</v>
      </c>
      <c r="AF47" s="58">
        <f t="shared" si="26"/>
        <v>192.78</v>
      </c>
      <c r="AG47" s="59">
        <f t="shared" ca="1" si="15"/>
        <v>17038.306612497086</v>
      </c>
      <c r="AH47" s="59">
        <f t="shared" ca="1" si="27"/>
        <v>542.78950301065197</v>
      </c>
      <c r="AI47" s="59"/>
      <c r="AR47" s="71">
        <v>12680.925871667156</v>
      </c>
      <c r="AS47" s="71">
        <v>14580.046879578083</v>
      </c>
      <c r="AT47" s="71">
        <v>16406.651040140641</v>
      </c>
      <c r="AU47" s="71">
        <v>20128.274245531793</v>
      </c>
      <c r="AV47" s="71">
        <v>23476.853208321125</v>
      </c>
      <c r="AW47" s="72">
        <v>555</v>
      </c>
      <c r="AX47" s="73">
        <f t="shared" si="9"/>
        <v>15840.25578669792</v>
      </c>
      <c r="BA47" s="18">
        <v>8173.4837386463523</v>
      </c>
      <c r="BB47" s="18">
        <v>9375.1831233518897</v>
      </c>
      <c r="BC47" s="18">
        <v>10133.753296220335</v>
      </c>
      <c r="BD47" s="18">
        <v>13857.573981834164</v>
      </c>
      <c r="BE47" s="18">
        <v>16501.904482859656</v>
      </c>
      <c r="BF47" s="1">
        <v>520</v>
      </c>
      <c r="BG47" s="73">
        <f t="shared" si="10"/>
        <v>10348.590682683856</v>
      </c>
      <c r="BJ47" s="71">
        <v>9282.8010547905069</v>
      </c>
      <c r="BK47" s="71">
        <v>10632.024611778494</v>
      </c>
      <c r="BL47" s="71">
        <v>11440.785232932905</v>
      </c>
      <c r="BM47" s="71">
        <v>15546.938177556402</v>
      </c>
      <c r="BN47" s="71">
        <v>18388.573102842074</v>
      </c>
      <c r="BO47" s="72">
        <v>555</v>
      </c>
      <c r="BP47" s="73">
        <f t="shared" si="11"/>
        <v>11686.12393788456</v>
      </c>
    </row>
    <row r="48" spans="1:68" x14ac:dyDescent="0.2">
      <c r="A48" s="104" t="s">
        <v>80</v>
      </c>
      <c r="B48" s="102">
        <v>1</v>
      </c>
      <c r="C48" s="102">
        <v>0</v>
      </c>
      <c r="D48" s="102">
        <v>0</v>
      </c>
      <c r="E48" s="102">
        <v>0</v>
      </c>
      <c r="F48" s="102">
        <v>0</v>
      </c>
      <c r="G48" s="103">
        <f t="shared" si="28"/>
        <v>1</v>
      </c>
      <c r="I48" s="55"/>
      <c r="J48" s="55"/>
      <c r="K48" s="55"/>
      <c r="L48" s="55"/>
      <c r="M48" s="55"/>
      <c r="N48"/>
      <c r="O48"/>
      <c r="P48" s="125"/>
      <c r="T48" s="106" t="str">
        <f t="shared" si="16"/>
        <v>ATTIC R38</v>
      </c>
      <c r="U48" s="59">
        <f t="shared" si="17"/>
        <v>241.46978252345193</v>
      </c>
      <c r="V48" s="58">
        <f t="shared" si="18"/>
        <v>280.80959664338781</v>
      </c>
      <c r="W48" s="59">
        <f t="shared" ca="1" si="13"/>
        <v>4193.5242989632243</v>
      </c>
      <c r="X48" s="59">
        <f t="shared" ca="1" si="19"/>
        <v>609.70342740723027</v>
      </c>
      <c r="Y48" s="57" t="str">
        <f t="shared" si="20"/>
        <v>ATTIC R38</v>
      </c>
      <c r="Z48" s="59">
        <f t="shared" si="21"/>
        <v>551.62339796913068</v>
      </c>
      <c r="AA48" s="58">
        <f t="shared" si="22"/>
        <v>445.99171231596887</v>
      </c>
      <c r="AB48" s="59">
        <f t="shared" ca="1" si="14"/>
        <v>11433.7706686659</v>
      </c>
      <c r="AC48" s="59">
        <f t="shared" ca="1" si="23"/>
        <v>982.32723228117175</v>
      </c>
      <c r="AD48" s="106" t="str">
        <f t="shared" si="24"/>
        <v>WALL R11</v>
      </c>
      <c r="AE48" s="59">
        <f t="shared" si="25"/>
        <v>612.60567713329112</v>
      </c>
      <c r="AF48" s="58">
        <f t="shared" si="26"/>
        <v>1228.2883059330159</v>
      </c>
      <c r="AG48" s="59">
        <f t="shared" ca="1" si="15"/>
        <v>13722.729661695783</v>
      </c>
      <c r="AH48" s="59">
        <f t="shared" ca="1" si="27"/>
        <v>3315.5769508013036</v>
      </c>
      <c r="AI48" s="59"/>
      <c r="AR48" s="71">
        <v>12200.11719894521</v>
      </c>
      <c r="AS48" s="71">
        <v>14026.281863463229</v>
      </c>
      <c r="AT48" s="71">
        <v>15810.079109288019</v>
      </c>
      <c r="AU48" s="71">
        <v>19426.926457661884</v>
      </c>
      <c r="AV48" s="71">
        <v>22672.223849985352</v>
      </c>
      <c r="AW48" s="72">
        <v>540</v>
      </c>
      <c r="AX48" s="73">
        <f t="shared" si="9"/>
        <v>15257.471725754471</v>
      </c>
      <c r="BA48" s="18">
        <v>7755.4058013477888</v>
      </c>
      <c r="BB48" s="18">
        <v>8899.2382068561383</v>
      </c>
      <c r="BC48" s="18">
        <v>9620.3926164664535</v>
      </c>
      <c r="BD48" s="18">
        <v>13228.596542631116</v>
      </c>
      <c r="BE48" s="18">
        <v>15766.920597714621</v>
      </c>
      <c r="BF48" s="1">
        <v>505</v>
      </c>
      <c r="BG48" s="73">
        <f t="shared" si="10"/>
        <v>9840.1095810137704</v>
      </c>
      <c r="BJ48" s="71">
        <v>8852.8274245531793</v>
      </c>
      <c r="BK48" s="71">
        <v>10147.758570172869</v>
      </c>
      <c r="BL48" s="71">
        <v>10905.772048051569</v>
      </c>
      <c r="BM48" s="71">
        <v>14906.240843832406</v>
      </c>
      <c r="BN48" s="71">
        <v>17648.578962789335</v>
      </c>
      <c r="BO48" s="72">
        <v>540</v>
      </c>
      <c r="BP48" s="73">
        <f t="shared" si="11"/>
        <v>11166.295927336654</v>
      </c>
    </row>
    <row r="49" spans="1:68" x14ac:dyDescent="0.2">
      <c r="A49" s="104" t="s">
        <v>81</v>
      </c>
      <c r="B49" s="102">
        <v>0</v>
      </c>
      <c r="C49" s="102">
        <v>1</v>
      </c>
      <c r="D49" s="102">
        <v>0</v>
      </c>
      <c r="E49" s="102">
        <v>0</v>
      </c>
      <c r="F49" s="102">
        <v>0</v>
      </c>
      <c r="G49" s="103">
        <f t="shared" si="28"/>
        <v>1</v>
      </c>
      <c r="N49"/>
      <c r="O49"/>
      <c r="P49" s="125"/>
      <c r="T49" s="106" t="str">
        <f t="shared" si="16"/>
        <v>INFILTRATION @ O.4 ACH</v>
      </c>
      <c r="U49" s="59">
        <f t="shared" si="17"/>
        <v>229.22978252345192</v>
      </c>
      <c r="V49" s="58">
        <f t="shared" si="18"/>
        <v>250</v>
      </c>
      <c r="W49" s="59">
        <f t="shared" ca="1" si="13"/>
        <v>3783.0705565385924</v>
      </c>
      <c r="X49" s="59">
        <f t="shared" ca="1" si="19"/>
        <v>410.45374242463186</v>
      </c>
      <c r="Y49" s="57" t="str">
        <f t="shared" si="20"/>
        <v>INFILTRATION @ O.4 ACH</v>
      </c>
      <c r="Z49" s="59">
        <f t="shared" si="21"/>
        <v>539.38339796913067</v>
      </c>
      <c r="AA49" s="58">
        <f t="shared" si="22"/>
        <v>250</v>
      </c>
      <c r="AB49" s="59">
        <f t="shared" ca="1" si="14"/>
        <v>11012.491356375807</v>
      </c>
      <c r="AC49" s="59">
        <f t="shared" ca="1" si="23"/>
        <v>421.279312290093</v>
      </c>
      <c r="AD49" s="106" t="str">
        <f t="shared" si="24"/>
        <v xml:space="preserve">ATTIC R19 </v>
      </c>
      <c r="AE49" s="59">
        <f t="shared" si="25"/>
        <v>570.17205845624835</v>
      </c>
      <c r="AF49" s="58">
        <f t="shared" si="26"/>
        <v>627.53060107464671</v>
      </c>
      <c r="AG49" s="59">
        <f t="shared" ca="1" si="15"/>
        <v>12216.853937432479</v>
      </c>
      <c r="AH49" s="59">
        <f t="shared" ca="1" si="27"/>
        <v>1505.8757242633037</v>
      </c>
      <c r="AI49" s="59"/>
      <c r="AR49" s="71">
        <v>11720.59771462057</v>
      </c>
      <c r="AS49" s="71">
        <v>13473.337239964842</v>
      </c>
      <c r="AT49" s="71">
        <v>15213.975974216233</v>
      </c>
      <c r="AU49" s="71">
        <v>18726.545561089952</v>
      </c>
      <c r="AV49" s="71">
        <v>21870.026369762672</v>
      </c>
      <c r="AW49" s="72">
        <v>525</v>
      </c>
      <c r="AX49" s="73">
        <f t="shared" si="9"/>
        <v>14675.667740990331</v>
      </c>
      <c r="BA49" s="18">
        <v>7342.2795194843256</v>
      </c>
      <c r="BB49" s="18">
        <v>8428.655142103722</v>
      </c>
      <c r="BC49" s="18">
        <v>9113.2434808086728</v>
      </c>
      <c r="BD49" s="18">
        <v>12602.929973630238</v>
      </c>
      <c r="BE49" s="18">
        <v>15036.712569586876</v>
      </c>
      <c r="BF49" s="1">
        <v>490</v>
      </c>
      <c r="BG49" s="73">
        <f t="shared" si="10"/>
        <v>9336.6929387635519</v>
      </c>
      <c r="BJ49" s="71">
        <v>8423.6155874597134</v>
      </c>
      <c r="BK49" s="71">
        <v>9670.0556694989755</v>
      </c>
      <c r="BL49" s="71">
        <v>10372.8391444477</v>
      </c>
      <c r="BM49" s="71">
        <v>14267.360093759156</v>
      </c>
      <c r="BN49" s="71">
        <v>16912.686785818929</v>
      </c>
      <c r="BO49" s="72">
        <v>525</v>
      </c>
      <c r="BP49" s="73">
        <f t="shared" si="11"/>
        <v>10650.338704951655</v>
      </c>
    </row>
    <row r="50" spans="1:68" x14ac:dyDescent="0.2">
      <c r="A50" s="104" t="s">
        <v>82</v>
      </c>
      <c r="B50" s="102">
        <v>0</v>
      </c>
      <c r="C50" s="102">
        <v>0</v>
      </c>
      <c r="D50" s="102">
        <v>1</v>
      </c>
      <c r="E50" s="102">
        <v>0</v>
      </c>
      <c r="F50" s="102">
        <v>0</v>
      </c>
      <c r="G50" s="103">
        <f t="shared" si="28"/>
        <v>1</v>
      </c>
      <c r="N50"/>
      <c r="O50"/>
      <c r="P50" s="125"/>
      <c r="T50" s="106" t="str">
        <f t="shared" si="16"/>
        <v>DG Low E WINDOW CL30</v>
      </c>
      <c r="U50" s="59">
        <f t="shared" si="17"/>
        <v>224.76495397286826</v>
      </c>
      <c r="V50" s="58">
        <f t="shared" si="18"/>
        <v>127.84</v>
      </c>
      <c r="W50" s="59">
        <f t="shared" ca="1" si="13"/>
        <v>3633.8389747624333</v>
      </c>
      <c r="X50" s="59">
        <f t="shared" ca="1" si="19"/>
        <v>149.23158177615915</v>
      </c>
      <c r="Y50" s="57" t="str">
        <f t="shared" si="20"/>
        <v>DG Low E WINDOW CL30</v>
      </c>
      <c r="Z50" s="59">
        <f t="shared" si="21"/>
        <v>532.30616973469489</v>
      </c>
      <c r="AA50" s="58">
        <f t="shared" si="22"/>
        <v>202.64</v>
      </c>
      <c r="AB50" s="59">
        <f t="shared" ca="1" si="14"/>
        <v>10769.561685004886</v>
      </c>
      <c r="AC50" s="59">
        <f t="shared" ca="1" si="23"/>
        <v>242.92967137092091</v>
      </c>
      <c r="AD50" s="106" t="str">
        <f t="shared" si="24"/>
        <v>ATTIC R38</v>
      </c>
      <c r="AE50" s="59">
        <f t="shared" si="25"/>
        <v>554.88405845624834</v>
      </c>
      <c r="AF50" s="58">
        <f t="shared" si="26"/>
        <v>240.50516041927804</v>
      </c>
      <c r="AG50" s="59">
        <f t="shared" ca="1" si="15"/>
        <v>11682.105960416007</v>
      </c>
      <c r="AH50" s="59">
        <f t="shared" ca="1" si="27"/>
        <v>534.74797701647185</v>
      </c>
      <c r="AI50" s="59"/>
      <c r="AR50" s="71">
        <v>11242.513917374743</v>
      </c>
      <c r="AS50" s="71">
        <v>12922.267799589803</v>
      </c>
      <c r="AT50" s="71">
        <v>14618.576032815705</v>
      </c>
      <c r="AU50" s="71">
        <v>18027.190155288605</v>
      </c>
      <c r="AV50" s="71">
        <v>21069.411075300322</v>
      </c>
      <c r="AW50" s="72">
        <v>510</v>
      </c>
      <c r="AX50" s="73">
        <f t="shared" si="9"/>
        <v>14095.330208028126</v>
      </c>
      <c r="BA50" s="18">
        <v>6933.5188983299149</v>
      </c>
      <c r="BB50" s="18">
        <v>7966.3346029885734</v>
      </c>
      <c r="BC50" s="18">
        <v>8611.9249926750672</v>
      </c>
      <c r="BD50" s="18">
        <v>11985.115733958393</v>
      </c>
      <c r="BE50" s="18">
        <v>14308.643422209201</v>
      </c>
      <c r="BF50" s="1">
        <v>475</v>
      </c>
      <c r="BG50" s="73">
        <f t="shared" si="10"/>
        <v>8839.9657193085259</v>
      </c>
      <c r="BJ50" s="71">
        <v>7998.1248168766479</v>
      </c>
      <c r="BK50" s="71">
        <v>9195.3706416642253</v>
      </c>
      <c r="BL50" s="71">
        <v>9843.8617052446534</v>
      </c>
      <c r="BM50" s="71">
        <v>13629.592733665399</v>
      </c>
      <c r="BN50" s="71">
        <v>16184.236741869325</v>
      </c>
      <c r="BO50" s="72">
        <v>510</v>
      </c>
      <c r="BP50" s="73">
        <f t="shared" si="11"/>
        <v>10137.660416056257</v>
      </c>
    </row>
    <row r="51" spans="1:68" x14ac:dyDescent="0.2">
      <c r="A51" s="104" t="s">
        <v>83</v>
      </c>
      <c r="B51" s="102">
        <v>0</v>
      </c>
      <c r="C51" s="102">
        <v>0</v>
      </c>
      <c r="D51" s="102">
        <v>0</v>
      </c>
      <c r="E51" s="102">
        <v>1</v>
      </c>
      <c r="F51" s="102">
        <v>0</v>
      </c>
      <c r="G51" s="103">
        <f t="shared" si="28"/>
        <v>1</v>
      </c>
      <c r="N51"/>
      <c r="O51"/>
      <c r="P51" s="125"/>
      <c r="T51" s="106" t="str">
        <f t="shared" si="16"/>
        <v>FLOOR R38</v>
      </c>
      <c r="U51" s="59">
        <f t="shared" si="17"/>
        <v>221.36495397286825</v>
      </c>
      <c r="V51" s="58">
        <f t="shared" si="18"/>
        <v>113.421875</v>
      </c>
      <c r="W51" s="59">
        <f t="shared" ca="1" si="13"/>
        <v>3522.8189962489059</v>
      </c>
      <c r="X51" s="59">
        <f t="shared" ca="1" si="19"/>
        <v>111.01997851352735</v>
      </c>
      <c r="Y51" s="57" t="str">
        <f t="shared" si="20"/>
        <v>FLOOR R38</v>
      </c>
      <c r="Z51" s="59">
        <f t="shared" si="21"/>
        <v>526.90616973469491</v>
      </c>
      <c r="AA51" s="58">
        <f t="shared" si="22"/>
        <v>180.140625</v>
      </c>
      <c r="AB51" s="59">
        <f t="shared" ca="1" si="14"/>
        <v>10584.837805719802</v>
      </c>
      <c r="AC51" s="59">
        <f t="shared" ca="1" si="23"/>
        <v>184.72387928508397</v>
      </c>
      <c r="AD51" s="106" t="str">
        <f t="shared" si="24"/>
        <v>INFILTRATION @ O.4 ACH</v>
      </c>
      <c r="AE51" s="59">
        <f t="shared" si="25"/>
        <v>542.64405845624833</v>
      </c>
      <c r="AF51" s="58">
        <f t="shared" si="26"/>
        <v>250</v>
      </c>
      <c r="AG51" s="59">
        <f t="shared" ca="1" si="15"/>
        <v>11257.926303808916</v>
      </c>
      <c r="AH51" s="59">
        <f t="shared" ca="1" si="27"/>
        <v>424.1796566070916</v>
      </c>
      <c r="AI51" s="59"/>
      <c r="AR51" s="71">
        <v>10766.686199824202</v>
      </c>
      <c r="AS51" s="71">
        <v>12371.96015235863</v>
      </c>
      <c r="AT51" s="71">
        <v>14025.637269264578</v>
      </c>
      <c r="AU51" s="71">
        <v>17328.362144740699</v>
      </c>
      <c r="AV51" s="71">
        <v>20269.176677409905</v>
      </c>
      <c r="AW51" s="72">
        <v>495</v>
      </c>
      <c r="AX51" s="73">
        <f t="shared" si="9"/>
        <v>13516.250219748023</v>
      </c>
      <c r="BA51" s="18">
        <v>6529.2997363023733</v>
      </c>
      <c r="BB51" s="18">
        <v>7507.0612364488716</v>
      </c>
      <c r="BC51" s="18">
        <v>8114.2396718429545</v>
      </c>
      <c r="BD51" s="18">
        <v>11373.366539701145</v>
      </c>
      <c r="BE51" s="18">
        <v>13585.965426311164</v>
      </c>
      <c r="BF51" s="1">
        <v>460</v>
      </c>
      <c r="BG51" s="73">
        <f t="shared" si="10"/>
        <v>8347.2657486082626</v>
      </c>
      <c r="BJ51" s="71">
        <v>7578.0251977732205</v>
      </c>
      <c r="BK51" s="71">
        <v>8723.2639906240856</v>
      </c>
      <c r="BL51" s="71">
        <v>9322.3556987987122</v>
      </c>
      <c r="BM51" s="71">
        <v>12993.407559331967</v>
      </c>
      <c r="BN51" s="71">
        <v>15460.972751245241</v>
      </c>
      <c r="BO51" s="72">
        <v>495</v>
      </c>
      <c r="BP51" s="73">
        <f t="shared" si="11"/>
        <v>9628.8640492235591</v>
      </c>
    </row>
    <row r="52" spans="1:68" x14ac:dyDescent="0.2">
      <c r="A52" s="107" t="s">
        <v>84</v>
      </c>
      <c r="B52" s="108">
        <v>0</v>
      </c>
      <c r="C52" s="108">
        <v>0</v>
      </c>
      <c r="D52" s="108">
        <v>0</v>
      </c>
      <c r="E52" s="108">
        <v>0</v>
      </c>
      <c r="F52" s="108">
        <v>1</v>
      </c>
      <c r="G52" s="109">
        <f t="shared" si="28"/>
        <v>1</v>
      </c>
      <c r="N52"/>
      <c r="O52"/>
      <c r="P52" s="125"/>
      <c r="T52" s="106" t="str">
        <f t="shared" si="16"/>
        <v>ATTIC R49</v>
      </c>
      <c r="U52" s="59">
        <f t="shared" si="17"/>
        <v>217.11495397286825</v>
      </c>
      <c r="V52" s="58">
        <f t="shared" si="18"/>
        <v>154.67313911059014</v>
      </c>
      <c r="W52" s="59">
        <f t="shared" ca="1" si="13"/>
        <v>3384.0440231069979</v>
      </c>
      <c r="X52" s="59">
        <f t="shared" ca="1" si="19"/>
        <v>138.77497314190805</v>
      </c>
      <c r="Y52" s="57" t="str">
        <f t="shared" si="20"/>
        <v>ATTIC R49</v>
      </c>
      <c r="Z52" s="59">
        <f t="shared" si="21"/>
        <v>520.15616973469491</v>
      </c>
      <c r="AA52" s="58">
        <f t="shared" si="22"/>
        <v>245.65733858740785</v>
      </c>
      <c r="AB52" s="59">
        <f t="shared" ca="1" si="14"/>
        <v>10353.932956613444</v>
      </c>
      <c r="AC52" s="59">
        <f t="shared" ca="1" si="23"/>
        <v>230.9048491063586</v>
      </c>
      <c r="AD52" s="106" t="str">
        <f t="shared" si="24"/>
        <v>DG Low E WINDOW CL30</v>
      </c>
      <c r="AE52" s="59">
        <f t="shared" si="25"/>
        <v>527.68213299418608</v>
      </c>
      <c r="AF52" s="58">
        <f t="shared" si="26"/>
        <v>428.4</v>
      </c>
      <c r="AG52" s="59">
        <f t="shared" ca="1" si="15"/>
        <v>10742.596430934816</v>
      </c>
      <c r="AH52" s="59">
        <f t="shared" ca="1" si="27"/>
        <v>515.32987287409924</v>
      </c>
      <c r="AI52" s="59"/>
      <c r="AR52" s="71">
        <v>10291.971872253151</v>
      </c>
      <c r="AS52" s="71">
        <v>11823.058892469968</v>
      </c>
      <c r="AT52" s="71">
        <v>13435.013184881336</v>
      </c>
      <c r="AU52" s="71">
        <v>16632.581306768239</v>
      </c>
      <c r="AV52" s="71">
        <v>19468.854380310579</v>
      </c>
      <c r="AW52" s="72">
        <v>480</v>
      </c>
      <c r="AX52" s="73">
        <f t="shared" si="9"/>
        <v>12938.810723703486</v>
      </c>
      <c r="BA52" s="18">
        <v>6129.2997363023733</v>
      </c>
      <c r="BB52" s="18">
        <v>7051.0401406387346</v>
      </c>
      <c r="BC52" s="18">
        <v>7620.3047172575443</v>
      </c>
      <c r="BD52" s="18">
        <v>10768.121886903018</v>
      </c>
      <c r="BE52" s="18">
        <v>12868.151186639321</v>
      </c>
      <c r="BF52" s="1">
        <v>445</v>
      </c>
      <c r="BG52" s="73">
        <f t="shared" si="10"/>
        <v>7858.670670963962</v>
      </c>
      <c r="BJ52" s="71">
        <v>7167.301494286552</v>
      </c>
      <c r="BK52" s="71">
        <v>8252.8274245531793</v>
      </c>
      <c r="BL52" s="71">
        <v>8804.5414591268691</v>
      </c>
      <c r="BM52" s="71">
        <v>12364.049223556989</v>
      </c>
      <c r="BN52" s="71">
        <v>14743.978904189862</v>
      </c>
      <c r="BO52" s="72">
        <v>480</v>
      </c>
      <c r="BP52" s="73">
        <f t="shared" si="11"/>
        <v>9124.6317023146803</v>
      </c>
    </row>
    <row r="53" spans="1:68" ht="15" thickBot="1" x14ac:dyDescent="0.25">
      <c r="A53" s="110">
        <v>4</v>
      </c>
      <c r="B53" s="111">
        <v>1</v>
      </c>
      <c r="C53" s="111">
        <v>2</v>
      </c>
      <c r="D53" s="111">
        <v>3</v>
      </c>
      <c r="E53" s="111">
        <v>4</v>
      </c>
      <c r="F53" s="111">
        <v>5</v>
      </c>
      <c r="G53" s="112"/>
      <c r="N53"/>
      <c r="O53"/>
      <c r="P53" s="125"/>
      <c r="T53" s="106" t="str">
        <f t="shared" si="16"/>
        <v>DOOR R5</v>
      </c>
      <c r="U53" s="59">
        <f t="shared" si="17"/>
        <v>205.91495397286826</v>
      </c>
      <c r="V53" s="58">
        <f t="shared" si="18"/>
        <v>600.46875</v>
      </c>
      <c r="W53" s="59">
        <f t="shared" ca="1" si="13"/>
        <v>3021.6629448154245</v>
      </c>
      <c r="X53" s="59">
        <f t="shared" ca="1" si="19"/>
        <v>362.38107829157343</v>
      </c>
      <c r="Y53" s="57" t="str">
        <f t="shared" si="20"/>
        <v>DOOR R5</v>
      </c>
      <c r="Z53" s="59">
        <f t="shared" si="21"/>
        <v>508.95616973469492</v>
      </c>
      <c r="AA53" s="58">
        <f t="shared" si="22"/>
        <v>600.46875</v>
      </c>
      <c r="AB53" s="59">
        <f t="shared" ca="1" si="14"/>
        <v>9974.2187506865375</v>
      </c>
      <c r="AC53" s="59">
        <f t="shared" ca="1" si="23"/>
        <v>379.71420592690629</v>
      </c>
      <c r="AD53" s="106" t="str">
        <f t="shared" si="24"/>
        <v>FLOOR R38</v>
      </c>
      <c r="AE53" s="59">
        <f t="shared" si="25"/>
        <v>524.77013299418604</v>
      </c>
      <c r="AF53" s="58">
        <f t="shared" si="26"/>
        <v>97.142499999999998</v>
      </c>
      <c r="AG53" s="59">
        <f t="shared" ca="1" si="15"/>
        <v>10642.482183404041</v>
      </c>
      <c r="AH53" s="59">
        <f t="shared" ca="1" si="27"/>
        <v>100.11424753077517</v>
      </c>
      <c r="AI53" s="59"/>
      <c r="AR53" s="71">
        <v>9819.8652212130091</v>
      </c>
      <c r="AS53" s="71">
        <v>11276.501611485497</v>
      </c>
      <c r="AT53" s="71">
        <v>12846.234983885144</v>
      </c>
      <c r="AU53" s="71">
        <v>15938.851450336948</v>
      </c>
      <c r="AV53" s="71">
        <v>18669.147377673602</v>
      </c>
      <c r="AW53" s="72">
        <v>465</v>
      </c>
      <c r="AX53" s="73">
        <f t="shared" si="9"/>
        <v>12363.54556108995</v>
      </c>
      <c r="BA53" s="18">
        <v>5733.4016993847054</v>
      </c>
      <c r="BB53" s="18">
        <v>6604.8637562261947</v>
      </c>
      <c r="BC53" s="18">
        <v>7132.6106065045415</v>
      </c>
      <c r="BD53" s="18">
        <v>10169.293876355114</v>
      </c>
      <c r="BE53" s="18">
        <v>12154.819806621741</v>
      </c>
      <c r="BF53" s="1">
        <v>430</v>
      </c>
      <c r="BG53" s="73">
        <f t="shared" si="10"/>
        <v>7377.395253442719</v>
      </c>
      <c r="BJ53" s="71">
        <v>6760.5039554644009</v>
      </c>
      <c r="BK53" s="71">
        <v>7787.518312335189</v>
      </c>
      <c r="BL53" s="71">
        <v>8288.8661002050994</v>
      </c>
      <c r="BM53" s="71">
        <v>11739.818341634926</v>
      </c>
      <c r="BN53" s="71">
        <v>14032.112510987401</v>
      </c>
      <c r="BO53" s="72">
        <v>465</v>
      </c>
      <c r="BP53" s="73">
        <f t="shared" si="11"/>
        <v>8624.8382654556117</v>
      </c>
    </row>
    <row r="54" spans="1:68" ht="15" thickBot="1" x14ac:dyDescent="0.25">
      <c r="A54" s="113" t="s">
        <v>130</v>
      </c>
      <c r="B54" s="114">
        <v>4461</v>
      </c>
      <c r="C54" s="114">
        <v>4867</v>
      </c>
      <c r="D54" s="115">
        <v>6001</v>
      </c>
      <c r="E54" s="115">
        <v>6888</v>
      </c>
      <c r="F54" s="115">
        <v>7980</v>
      </c>
      <c r="G54" s="116">
        <f>SUMPRODUCT($B$3:$F$3,B54:F54)</f>
        <v>0</v>
      </c>
      <c r="H54" s="55"/>
      <c r="N54"/>
      <c r="O54"/>
      <c r="P54" s="125"/>
      <c r="T54" s="106"/>
      <c r="U54" s="59"/>
      <c r="V54" s="58"/>
      <c r="W54" s="59"/>
      <c r="X54" s="59"/>
      <c r="Y54" s="57"/>
      <c r="Z54" s="59"/>
      <c r="AA54" s="58"/>
      <c r="AB54" s="59"/>
      <c r="AC54" s="59">
        <f t="shared" ca="1" si="23"/>
        <v>9974.2187506865375</v>
      </c>
      <c r="AD54" s="106" t="str">
        <f t="shared" si="24"/>
        <v>ATTIC R49</v>
      </c>
      <c r="AE54" s="59">
        <f t="shared" si="25"/>
        <v>521.13013299418606</v>
      </c>
      <c r="AF54" s="58">
        <f t="shared" si="26"/>
        <v>132.47299443824662</v>
      </c>
      <c r="AG54" s="59">
        <f t="shared" ca="1" si="15"/>
        <v>10518.072251965423</v>
      </c>
      <c r="AH54" s="59">
        <f t="shared" ca="1" si="27"/>
        <v>124.40993143861851</v>
      </c>
      <c r="AI54" s="59"/>
      <c r="AR54" s="71">
        <v>9349.6337532962207</v>
      </c>
      <c r="AS54" s="71">
        <v>10732.259009668913</v>
      </c>
      <c r="AT54" s="71">
        <v>12259.331966012307</v>
      </c>
      <c r="AU54" s="71">
        <v>15246.64518019338</v>
      </c>
      <c r="AV54" s="71">
        <v>17870.055669498975</v>
      </c>
      <c r="AW54" s="72">
        <v>450</v>
      </c>
      <c r="AX54" s="73">
        <f t="shared" si="9"/>
        <v>11790.22062701436</v>
      </c>
      <c r="BA54" s="18">
        <v>5342.543217111046</v>
      </c>
      <c r="BB54" s="18">
        <v>6164.225021974803</v>
      </c>
      <c r="BC54" s="18">
        <v>6650.8643422209207</v>
      </c>
      <c r="BD54" s="18">
        <v>9575.0366246703779</v>
      </c>
      <c r="BE54" s="18">
        <v>11448.666861998243</v>
      </c>
      <c r="BF54" s="1">
        <v>415</v>
      </c>
      <c r="BG54" s="73">
        <f t="shared" si="10"/>
        <v>6901.5728098447107</v>
      </c>
      <c r="BJ54" s="71">
        <v>6355.6401992382071</v>
      </c>
      <c r="BK54" s="71">
        <v>7324.1136829768539</v>
      </c>
      <c r="BL54" s="71">
        <v>7776.2086141224736</v>
      </c>
      <c r="BM54" s="71">
        <v>11116.349252856724</v>
      </c>
      <c r="BN54" s="71">
        <v>13320.187518312337</v>
      </c>
      <c r="BO54" s="72">
        <v>450</v>
      </c>
      <c r="BP54" s="73">
        <f t="shared" si="11"/>
        <v>8126.8329915030763</v>
      </c>
    </row>
    <row r="55" spans="1:68" ht="15" thickBot="1" x14ac:dyDescent="0.25">
      <c r="A55" s="214" t="s">
        <v>131</v>
      </c>
      <c r="B55" s="215"/>
      <c r="C55" s="215"/>
      <c r="D55" s="215"/>
      <c r="E55" s="215"/>
      <c r="F55" s="216"/>
      <c r="H55" s="55"/>
      <c r="N55"/>
      <c r="O55"/>
      <c r="P55" s="125"/>
      <c r="T55" s="106"/>
      <c r="U55" s="59"/>
      <c r="V55" s="58"/>
      <c r="X55" s="117"/>
      <c r="Y55" s="57"/>
      <c r="Z55" s="59"/>
      <c r="AA55" s="58"/>
      <c r="AB55" s="59"/>
      <c r="AC55" s="117">
        <f ca="1">AC53/(Z52-Z53)</f>
        <v>33.903054100616664</v>
      </c>
      <c r="AD55" s="106" t="str">
        <f t="shared" si="24"/>
        <v>DOOR R5</v>
      </c>
      <c r="AE55" s="59">
        <f t="shared" si="25"/>
        <v>509.93013299418607</v>
      </c>
      <c r="AF55" s="58">
        <f t="shared" si="26"/>
        <v>600.46875</v>
      </c>
      <c r="AG55" s="59">
        <f t="shared" ca="1" si="15"/>
        <v>10135.290544141615</v>
      </c>
      <c r="AH55" s="59">
        <f t="shared" ca="1" si="27"/>
        <v>382.78170782380766</v>
      </c>
      <c r="AI55" s="59"/>
      <c r="AR55" s="71">
        <v>8882.6545561089952</v>
      </c>
      <c r="AS55" s="71">
        <v>10192.089071198359</v>
      </c>
      <c r="AT55" s="71">
        <v>11674.509229416935</v>
      </c>
      <c r="AU55" s="71">
        <v>14557.544682097863</v>
      </c>
      <c r="AV55" s="71">
        <v>17072.663346029887</v>
      </c>
      <c r="AW55" s="72">
        <v>435</v>
      </c>
      <c r="AX55" s="73">
        <f t="shared" si="9"/>
        <v>11220.217990038089</v>
      </c>
      <c r="BA55" s="18">
        <v>4955.7280984471145</v>
      </c>
      <c r="BB55" s="18">
        <v>5727.3659537064168</v>
      </c>
      <c r="BC55" s="18">
        <v>6176.472311749194</v>
      </c>
      <c r="BD55" s="18">
        <v>8985.1743334309995</v>
      </c>
      <c r="BE55" s="18">
        <v>10751.860533255202</v>
      </c>
      <c r="BF55" s="1">
        <v>400</v>
      </c>
      <c r="BG55" s="73">
        <f t="shared" si="10"/>
        <v>6430.5452680925882</v>
      </c>
      <c r="BJ55" s="71">
        <v>5955.8159976560219</v>
      </c>
      <c r="BK55" s="71">
        <v>6868.2976853208329</v>
      </c>
      <c r="BL55" s="71">
        <v>7266.891297978319</v>
      </c>
      <c r="BM55" s="71">
        <v>10496.835628479343</v>
      </c>
      <c r="BN55" s="71">
        <v>12614.913565777908</v>
      </c>
      <c r="BO55" s="72">
        <v>435</v>
      </c>
      <c r="BP55" s="73">
        <f t="shared" si="11"/>
        <v>7634.6680339876948</v>
      </c>
    </row>
    <row r="56" spans="1:68" x14ac:dyDescent="0.2">
      <c r="E56" s="59"/>
      <c r="N56"/>
      <c r="O56"/>
      <c r="P56" s="125"/>
      <c r="T56" s="59"/>
      <c r="U56" s="58"/>
      <c r="V56" s="59"/>
      <c r="W56" s="59"/>
      <c r="X56" s="59"/>
      <c r="Y56" s="57"/>
      <c r="Z56" s="59"/>
      <c r="AA56" s="58"/>
      <c r="AB56" s="59"/>
      <c r="AC56" s="59"/>
      <c r="AD56" s="106"/>
      <c r="AE56" s="59"/>
      <c r="AF56" s="58"/>
      <c r="AG56" s="59"/>
      <c r="AH56" s="59"/>
      <c r="AI56" s="59"/>
      <c r="AR56" s="71">
        <v>8417.0817462642844</v>
      </c>
      <c r="AS56" s="71">
        <v>9655.0835042484632</v>
      </c>
      <c r="AT56" s="71">
        <v>11091.210079109289</v>
      </c>
      <c r="AU56" s="71">
        <v>13870.436566070906</v>
      </c>
      <c r="AV56" s="71">
        <v>16277.468502783477</v>
      </c>
      <c r="AW56" s="72">
        <v>420</v>
      </c>
      <c r="AX56" s="73">
        <f t="shared" si="9"/>
        <v>10652.548198066219</v>
      </c>
      <c r="BA56" s="18">
        <v>4571.9601523586289</v>
      </c>
      <c r="BB56" s="18">
        <v>5293.2024611778497</v>
      </c>
      <c r="BC56" s="18">
        <v>5704.4828596542638</v>
      </c>
      <c r="BD56" s="18">
        <v>8398.9159097568117</v>
      </c>
      <c r="BE56" s="18">
        <v>10062.613536478171</v>
      </c>
      <c r="BF56" s="1">
        <v>385</v>
      </c>
      <c r="BG56" s="73">
        <f t="shared" si="10"/>
        <v>5962.6677409903314</v>
      </c>
      <c r="BJ56" s="71">
        <v>5559.8007617931435</v>
      </c>
      <c r="BK56" s="71">
        <v>6417.6384412540292</v>
      </c>
      <c r="BL56" s="71">
        <v>6764.5180193378264</v>
      </c>
      <c r="BM56" s="71">
        <v>9878.3767946088501</v>
      </c>
      <c r="BN56" s="71">
        <v>11912.364488719602</v>
      </c>
      <c r="BO56" s="72">
        <v>420</v>
      </c>
      <c r="BP56" s="73">
        <f t="shared" si="11"/>
        <v>7146.8971579255776</v>
      </c>
    </row>
    <row r="57" spans="1:68" x14ac:dyDescent="0.2">
      <c r="A57"/>
      <c r="B57"/>
      <c r="C57"/>
      <c r="D57"/>
      <c r="E57"/>
      <c r="F57"/>
      <c r="G57"/>
      <c r="H57"/>
      <c r="I57"/>
      <c r="J57"/>
      <c r="K57"/>
      <c r="L57"/>
      <c r="M57"/>
      <c r="N57"/>
      <c r="O57"/>
      <c r="P57" s="125"/>
      <c r="T57" s="59"/>
      <c r="U57" s="58"/>
      <c r="V57" s="59"/>
      <c r="W57" s="59"/>
      <c r="X57" s="59"/>
      <c r="Y57" s="57"/>
      <c r="Z57" s="59"/>
      <c r="AA57" s="58"/>
      <c r="AB57" s="59"/>
      <c r="AC57" s="59"/>
      <c r="AD57" s="106"/>
      <c r="AE57" s="59"/>
      <c r="AF57" s="58"/>
      <c r="AG57" s="59"/>
      <c r="AH57" s="59"/>
      <c r="AI57" s="59"/>
      <c r="AR57" s="71">
        <v>7953.0911221799015</v>
      </c>
      <c r="AS57" s="71">
        <v>9120.4219162027548</v>
      </c>
      <c r="AT57" s="71">
        <v>10511.426897157926</v>
      </c>
      <c r="AU57" s="71">
        <v>13185.320832112511</v>
      </c>
      <c r="AV57" s="71">
        <v>15483.474948725461</v>
      </c>
      <c r="AW57" s="72">
        <v>405</v>
      </c>
      <c r="AX57" s="73">
        <f t="shared" si="9"/>
        <v>10087.124523879287</v>
      </c>
      <c r="BA57" s="18">
        <v>4190.5654849106359</v>
      </c>
      <c r="BB57" s="18">
        <v>4866.2760035159681</v>
      </c>
      <c r="BC57" s="18">
        <v>5238.7049516554353</v>
      </c>
      <c r="BD57" s="18">
        <v>7820.3926164664526</v>
      </c>
      <c r="BE57" s="18">
        <v>9381.59976560211</v>
      </c>
      <c r="BF57" s="1">
        <v>370</v>
      </c>
      <c r="BG57" s="73">
        <f t="shared" si="10"/>
        <v>5501.0351596835626</v>
      </c>
      <c r="BJ57" s="71">
        <v>5166.3932024611786</v>
      </c>
      <c r="BK57" s="71">
        <v>5970.8174626428372</v>
      </c>
      <c r="BL57" s="71">
        <v>6273.1614415470258</v>
      </c>
      <c r="BM57" s="71">
        <v>9267.3600937591564</v>
      </c>
      <c r="BN57" s="71">
        <v>11214.854966305305</v>
      </c>
      <c r="BO57" s="72">
        <v>405</v>
      </c>
      <c r="BP57" s="73">
        <f t="shared" si="11"/>
        <v>6664.4078523293292</v>
      </c>
    </row>
    <row r="58" spans="1:68" x14ac:dyDescent="0.2">
      <c r="M58"/>
      <c r="N58"/>
      <c r="O58"/>
      <c r="P58" s="125"/>
      <c r="T58" s="59"/>
      <c r="U58" s="58"/>
      <c r="V58" s="59"/>
      <c r="W58" s="59"/>
      <c r="X58" s="59"/>
      <c r="Y58" s="57"/>
      <c r="Z58" s="59"/>
      <c r="AA58" s="58"/>
      <c r="AB58" s="59"/>
      <c r="AC58" s="59"/>
      <c r="AD58" s="106"/>
      <c r="AE58" s="59"/>
      <c r="AF58" s="58"/>
      <c r="AG58" s="59"/>
      <c r="AH58" s="59"/>
      <c r="AI58" s="59"/>
      <c r="AR58" s="71">
        <v>7492.1476706709645</v>
      </c>
      <c r="AS58" s="71">
        <v>8588.133606797539</v>
      </c>
      <c r="AT58" s="71">
        <v>9936.5367711690596</v>
      </c>
      <c r="AU58" s="71">
        <v>12502.314679167888</v>
      </c>
      <c r="AV58" s="71">
        <v>14691.473776736009</v>
      </c>
      <c r="AW58" s="72">
        <v>390</v>
      </c>
      <c r="AX58" s="73">
        <f t="shared" si="9"/>
        <v>9524.5244652798137</v>
      </c>
      <c r="BA58" s="18">
        <v>3814.8549663053036</v>
      </c>
      <c r="BB58" s="18">
        <v>4443.0120128918843</v>
      </c>
      <c r="BC58" s="18">
        <v>4782.2443598007621</v>
      </c>
      <c r="BD58" s="18">
        <v>7254.0287137415771</v>
      </c>
      <c r="BE58" s="18">
        <v>8714.2396718429536</v>
      </c>
      <c r="BF58" s="1">
        <v>355</v>
      </c>
      <c r="BG58" s="73">
        <f t="shared" si="10"/>
        <v>5046.1916202754182</v>
      </c>
      <c r="BJ58" s="71">
        <v>4774.7143275710523</v>
      </c>
      <c r="BK58" s="71">
        <v>5533.4602988573106</v>
      </c>
      <c r="BL58" s="71">
        <v>5793.261060650455</v>
      </c>
      <c r="BM58" s="71">
        <v>8660.3281570465879</v>
      </c>
      <c r="BN58" s="71">
        <v>10520.187518312336</v>
      </c>
      <c r="BO58" s="72">
        <v>390</v>
      </c>
      <c r="BP58" s="73">
        <f t="shared" si="11"/>
        <v>6188.9150307647233</v>
      </c>
    </row>
    <row r="59" spans="1:68" x14ac:dyDescent="0.2">
      <c r="A59" s="120" t="s">
        <v>137</v>
      </c>
      <c r="B59" s="84"/>
      <c r="C59" s="84"/>
      <c r="D59" s="84"/>
      <c r="E59" s="119" t="s">
        <v>34</v>
      </c>
      <c r="M59"/>
      <c r="N59"/>
      <c r="O59"/>
      <c r="P59" s="125"/>
      <c r="S59" s="106"/>
      <c r="T59" s="59"/>
      <c r="U59" s="58"/>
      <c r="V59" s="59"/>
      <c r="W59" s="59"/>
      <c r="X59" s="59"/>
      <c r="Y59" s="57"/>
      <c r="Z59" s="59"/>
      <c r="AA59" s="58"/>
      <c r="AB59" s="59"/>
      <c r="AC59" s="59"/>
      <c r="AD59" s="106"/>
      <c r="AE59" s="59"/>
      <c r="AF59" s="58"/>
      <c r="AG59" s="59"/>
      <c r="AH59" s="59"/>
      <c r="AQ59" s="55"/>
      <c r="AR59" s="71">
        <v>7033.4895985936128</v>
      </c>
      <c r="AS59" s="71">
        <v>8058.0134778786996</v>
      </c>
      <c r="AT59" s="71">
        <v>9363.9027248754774</v>
      </c>
      <c r="AU59" s="71">
        <v>11822.443598007618</v>
      </c>
      <c r="AV59" s="71">
        <v>13901.171989452096</v>
      </c>
      <c r="AW59" s="72">
        <v>375</v>
      </c>
      <c r="AX59" s="73">
        <f t="shared" si="9"/>
        <v>8964.24611778494</v>
      </c>
      <c r="BA59" s="18">
        <v>3447.3483738646351</v>
      </c>
      <c r="BB59" s="18">
        <v>4025.7544682097864</v>
      </c>
      <c r="BC59" s="18">
        <v>4333.0501025490776</v>
      </c>
      <c r="BD59" s="18">
        <v>6694.6674479929688</v>
      </c>
      <c r="BE59" s="18">
        <v>8053.9701142689719</v>
      </c>
      <c r="BF59" s="1">
        <v>340</v>
      </c>
      <c r="BG59" s="73">
        <f t="shared" si="10"/>
        <v>4598.1974802226787</v>
      </c>
      <c r="BJ59" s="71">
        <v>4385.4380310577208</v>
      </c>
      <c r="BK59" s="71">
        <v>5104.1019630823321</v>
      </c>
      <c r="BL59" s="71">
        <v>5320.5977146205687</v>
      </c>
      <c r="BM59" s="71">
        <v>8064.1371227658956</v>
      </c>
      <c r="BN59" s="71">
        <v>9828.215646059185</v>
      </c>
      <c r="BO59" s="72">
        <v>375</v>
      </c>
      <c r="BP59" s="73">
        <f t="shared" si="11"/>
        <v>5720.2956343392907</v>
      </c>
    </row>
    <row r="60" spans="1:68" x14ac:dyDescent="0.2">
      <c r="A60" s="121"/>
      <c r="B60" s="94">
        <v>850</v>
      </c>
      <c r="C60" s="94">
        <v>2200</v>
      </c>
      <c r="D60" s="94">
        <v>2184</v>
      </c>
      <c r="E60" s="77">
        <f>($I$45*B60)+($J$45*C60)+($K$45*D60)</f>
        <v>2196.8000000000002</v>
      </c>
      <c r="M60"/>
      <c r="N60"/>
      <c r="O60"/>
      <c r="P60" s="125"/>
      <c r="S60" s="106"/>
      <c r="T60" s="59"/>
      <c r="U60" s="58"/>
      <c r="V60" s="59"/>
      <c r="W60" s="59"/>
      <c r="X60" s="59"/>
      <c r="Y60" s="57"/>
      <c r="Z60" s="59"/>
      <c r="AA60" s="58"/>
      <c r="AB60" s="59"/>
      <c r="AC60" s="59"/>
      <c r="AD60" s="106"/>
      <c r="AE60" s="59"/>
      <c r="AF60" s="58"/>
      <c r="AG60" s="59"/>
      <c r="AH60" s="59"/>
      <c r="AQ60" s="55"/>
      <c r="AR60" s="71">
        <v>6576.5602109581014</v>
      </c>
      <c r="AS60" s="71">
        <v>7532.0539115147976</v>
      </c>
      <c r="AT60" s="71">
        <v>8794.9897450922945</v>
      </c>
      <c r="AU60" s="71">
        <v>11146.02988573103</v>
      </c>
      <c r="AV60" s="71">
        <v>13114.532669205979</v>
      </c>
      <c r="AW60" s="72">
        <v>360</v>
      </c>
      <c r="AX60" s="73">
        <f t="shared" si="9"/>
        <v>8407.4406680339871</v>
      </c>
      <c r="BA60" s="18">
        <v>3094.579548784061</v>
      </c>
      <c r="BB60" s="18">
        <v>3618.810430706124</v>
      </c>
      <c r="BC60" s="18">
        <v>3891.5323762086141</v>
      </c>
      <c r="BD60" s="18">
        <v>6139.9941400527396</v>
      </c>
      <c r="BE60" s="18">
        <v>7398.0076179314392</v>
      </c>
      <c r="BF60" s="1">
        <v>325</v>
      </c>
      <c r="BG60" s="73">
        <f t="shared" si="10"/>
        <v>4159.8019337825963</v>
      </c>
      <c r="BJ60" s="71">
        <v>3998.974509229417</v>
      </c>
      <c r="BK60" s="71">
        <v>4680.4570758863174</v>
      </c>
      <c r="BL60" s="71">
        <v>4857.4274831526527</v>
      </c>
      <c r="BM60" s="71">
        <v>7476.5309112218001</v>
      </c>
      <c r="BN60" s="71">
        <v>9144.5941986522121</v>
      </c>
      <c r="BO60" s="72">
        <v>360</v>
      </c>
      <c r="BP60" s="73">
        <f t="shared" si="11"/>
        <v>5257.9654263111643</v>
      </c>
    </row>
    <row r="61" spans="1:68" x14ac:dyDescent="0.2">
      <c r="A61" s="74" t="s">
        <v>26</v>
      </c>
      <c r="B61" s="77">
        <f t="shared" ref="B61:B67" si="29">VLOOKUP(A61,$A$5:$H$33,6,FALSE)</f>
        <v>76.14</v>
      </c>
      <c r="C61" s="77">
        <f t="shared" ref="C61:C67" si="30">VLOOKUP(A61,$A$5:$H$33,7,FALSE)</f>
        <v>199.46799999999999</v>
      </c>
      <c r="D61" s="77">
        <f t="shared" ref="D61:D67" si="31">VLOOKUP(A61,$A$5:$H$33,8,FALSE)</f>
        <v>142.97399999999999</v>
      </c>
      <c r="E61" s="94"/>
      <c r="F61" s="55"/>
      <c r="G61" s="57"/>
      <c r="M61"/>
      <c r="N61"/>
      <c r="O61"/>
      <c r="P61" s="125"/>
      <c r="AD61" s="106"/>
      <c r="AE61" s="59"/>
      <c r="AF61" s="58"/>
      <c r="AG61" s="59"/>
      <c r="AH61" s="59"/>
      <c r="AQ61" s="55"/>
      <c r="AR61" s="71">
        <v>6122.7365953706421</v>
      </c>
      <c r="AS61" s="71">
        <v>7011.2803984764141</v>
      </c>
      <c r="AT61" s="71">
        <v>8230.4424260181659</v>
      </c>
      <c r="AU61" s="71">
        <v>10472.956343392909</v>
      </c>
      <c r="AV61" s="71">
        <v>12330.618224435981</v>
      </c>
      <c r="AW61" s="72">
        <v>345</v>
      </c>
      <c r="AX61" s="73">
        <f t="shared" si="9"/>
        <v>7854.8576032815699</v>
      </c>
      <c r="BA61" s="18">
        <v>2754.0287137415767</v>
      </c>
      <c r="BB61" s="18">
        <v>3227.922648696162</v>
      </c>
      <c r="BC61" s="18">
        <v>3464.2543217111047</v>
      </c>
      <c r="BD61" s="18">
        <v>5595.6636390272488</v>
      </c>
      <c r="BE61" s="18">
        <v>6757.8962789334901</v>
      </c>
      <c r="BF61" s="1">
        <v>310</v>
      </c>
      <c r="BG61" s="73">
        <f t="shared" si="10"/>
        <v>3735.553179021389</v>
      </c>
      <c r="BJ61" s="71">
        <v>3620.9786111924996</v>
      </c>
      <c r="BK61" s="71">
        <v>4264.1371227658956</v>
      </c>
      <c r="BL61" s="71">
        <v>4403.6624670377969</v>
      </c>
      <c r="BM61" s="71">
        <v>6897.1579255786701</v>
      </c>
      <c r="BN61" s="71">
        <v>8469.9677702900681</v>
      </c>
      <c r="BO61" s="72">
        <v>345</v>
      </c>
      <c r="BP61" s="73">
        <f t="shared" si="11"/>
        <v>4803.7371813653672</v>
      </c>
    </row>
    <row r="62" spans="1:68" x14ac:dyDescent="0.2">
      <c r="A62" s="74" t="s">
        <v>35</v>
      </c>
      <c r="B62" s="77">
        <f t="shared" si="29"/>
        <v>51</v>
      </c>
      <c r="C62" s="77">
        <f t="shared" si="30"/>
        <v>30.36</v>
      </c>
      <c r="D62" s="77">
        <f t="shared" si="31"/>
        <v>43.68</v>
      </c>
      <c r="E62" s="94"/>
      <c r="F62" s="59"/>
      <c r="G62"/>
      <c r="H62"/>
      <c r="I62"/>
      <c r="J62"/>
      <c r="K62"/>
      <c r="L62"/>
      <c r="M62"/>
      <c r="N62"/>
      <c r="O62"/>
      <c r="P62" s="125"/>
      <c r="AD62" s="106"/>
      <c r="AE62" s="59"/>
      <c r="AF62" s="58"/>
      <c r="AG62" s="59"/>
      <c r="AH62" s="59"/>
      <c r="AQ62" s="55"/>
      <c r="AR62" s="71">
        <v>5676.5895106944045</v>
      </c>
      <c r="AS62" s="71">
        <v>6497.949018458834</v>
      </c>
      <c r="AT62" s="71">
        <v>7669.4110753003233</v>
      </c>
      <c r="AU62" s="71">
        <v>9803.7503662467043</v>
      </c>
      <c r="AV62" s="71">
        <v>11551.596835628479</v>
      </c>
      <c r="AW62" s="72">
        <v>330</v>
      </c>
      <c r="AX62" s="73">
        <f t="shared" si="9"/>
        <v>7308.4854966305302</v>
      </c>
      <c r="BA62" s="18">
        <v>2426.5162613536481</v>
      </c>
      <c r="BB62" s="18">
        <v>2848.4910635804276</v>
      </c>
      <c r="BC62" s="18">
        <v>3050.1611485496633</v>
      </c>
      <c r="BD62" s="18">
        <v>5057.3102842074422</v>
      </c>
      <c r="BE62" s="18">
        <v>6127.7468502783477</v>
      </c>
      <c r="BF62" s="1">
        <v>295</v>
      </c>
      <c r="BG62" s="73">
        <f t="shared" si="10"/>
        <v>3322.4248461763846</v>
      </c>
      <c r="BJ62" s="71">
        <v>3260.4160562554935</v>
      </c>
      <c r="BK62" s="71">
        <v>3856.7242894813949</v>
      </c>
      <c r="BL62" s="71">
        <v>3964.3422209200116</v>
      </c>
      <c r="BM62" s="71">
        <v>6332.7571051860541</v>
      </c>
      <c r="BN62" s="71">
        <v>7804.307061236449</v>
      </c>
      <c r="BO62" s="72">
        <v>330</v>
      </c>
      <c r="BP62" s="73">
        <f t="shared" si="11"/>
        <v>4361.8652212130091</v>
      </c>
    </row>
    <row r="63" spans="1:68" x14ac:dyDescent="0.2">
      <c r="A63" s="74" t="s">
        <v>28</v>
      </c>
      <c r="B63" s="77">
        <f t="shared" si="29"/>
        <v>46.75</v>
      </c>
      <c r="C63" s="77">
        <f t="shared" si="30"/>
        <v>57.2</v>
      </c>
      <c r="D63" s="77">
        <f t="shared" si="31"/>
        <v>40.04</v>
      </c>
      <c r="E63" s="77">
        <f>($I$45*B63)+($J$45*C63)+($K$45*D63)</f>
        <v>53.768000000000008</v>
      </c>
      <c r="F63" s="106">
        <f>E63/E60</f>
        <v>2.4475600873998544E-2</v>
      </c>
      <c r="G63"/>
      <c r="H63"/>
      <c r="I63"/>
      <c r="J63"/>
      <c r="K63"/>
      <c r="L63"/>
      <c r="M63"/>
      <c r="N63"/>
      <c r="O63"/>
      <c r="P63" s="125"/>
      <c r="AQ63" s="55"/>
      <c r="AR63" s="71">
        <v>5233.9290946381489</v>
      </c>
      <c r="AS63" s="71">
        <v>5990.6533841195433</v>
      </c>
      <c r="AT63" s="71">
        <v>7111.1046000586002</v>
      </c>
      <c r="AU63" s="71">
        <v>9139.2323469088788</v>
      </c>
      <c r="AV63" s="71">
        <v>10777.175505420451</v>
      </c>
      <c r="AW63" s="72">
        <v>315</v>
      </c>
      <c r="AX63" s="73">
        <f t="shared" si="9"/>
        <v>6766.8543803105767</v>
      </c>
      <c r="BA63" s="18">
        <v>2110.3721066510402</v>
      </c>
      <c r="BB63" s="18">
        <v>2487.3132141810729</v>
      </c>
      <c r="BC63" s="18">
        <v>2648.6082625256377</v>
      </c>
      <c r="BD63" s="18">
        <v>4524.9926750659242</v>
      </c>
      <c r="BE63" s="18">
        <v>5503.6331673014947</v>
      </c>
      <c r="BF63" s="1">
        <v>280</v>
      </c>
      <c r="BG63" s="73">
        <f t="shared" si="10"/>
        <v>2922.7503662467038</v>
      </c>
      <c r="BJ63" s="71">
        <v>2914.2103721066514</v>
      </c>
      <c r="BK63" s="71">
        <v>3454.5561089950193</v>
      </c>
      <c r="BL63" s="71">
        <v>3542.5139173747439</v>
      </c>
      <c r="BM63" s="71">
        <v>5781.6876648110174</v>
      </c>
      <c r="BN63" s="71">
        <v>7144.3012012891886</v>
      </c>
      <c r="BO63" s="72">
        <v>315</v>
      </c>
      <c r="BP63" s="73">
        <f t="shared" si="11"/>
        <v>3930.1350717843547</v>
      </c>
    </row>
    <row r="64" spans="1:68" x14ac:dyDescent="0.2">
      <c r="A64" s="74" t="s">
        <v>61</v>
      </c>
      <c r="B64" s="77">
        <f t="shared" si="29"/>
        <v>66.50943396226414</v>
      </c>
      <c r="C64" s="77">
        <f t="shared" si="30"/>
        <v>258.96226415094338</v>
      </c>
      <c r="D64" s="77">
        <f t="shared" si="31"/>
        <v>222.87735849056602</v>
      </c>
      <c r="E64" s="77">
        <f>($I$45*B64)+($J$45*C64)+($K$45*D64)</f>
        <v>251.74528301886792</v>
      </c>
      <c r="G64"/>
      <c r="H64"/>
      <c r="I64"/>
      <c r="J64"/>
      <c r="K64"/>
      <c r="L64"/>
      <c r="M64"/>
      <c r="N64"/>
      <c r="O64"/>
      <c r="P64" s="125"/>
      <c r="AQ64" s="55"/>
      <c r="AR64" s="71">
        <v>4794.0228537943158</v>
      </c>
      <c r="AS64" s="71">
        <v>5489.0125988866102</v>
      </c>
      <c r="AT64" s="71">
        <v>6555.640199238208</v>
      </c>
      <c r="AU64" s="71">
        <v>8476.6481101670088</v>
      </c>
      <c r="AV64" s="71">
        <v>10006.445941986523</v>
      </c>
      <c r="AW64" s="72">
        <v>300</v>
      </c>
      <c r="AX64" s="73">
        <f t="shared" si="9"/>
        <v>6229.200117198945</v>
      </c>
      <c r="BA64" s="18">
        <v>1805.1274538529153</v>
      </c>
      <c r="BB64" s="18">
        <v>2138.5877527102257</v>
      </c>
      <c r="BC64" s="18">
        <v>2266.2760035159686</v>
      </c>
      <c r="BD64" s="18">
        <v>4001.9044828596543</v>
      </c>
      <c r="BE64" s="18">
        <v>4891.6495751538241</v>
      </c>
      <c r="BF64" s="1">
        <v>265</v>
      </c>
      <c r="BG64" s="73">
        <f t="shared" si="10"/>
        <v>2535.7301494286553</v>
      </c>
      <c r="BJ64" s="71">
        <v>2582.0392616466452</v>
      </c>
      <c r="BK64" s="71">
        <v>3062.9944330501025</v>
      </c>
      <c r="BL64" s="71">
        <v>3137.0934661588049</v>
      </c>
      <c r="BM64" s="71">
        <v>5240.1113389979491</v>
      </c>
      <c r="BN64" s="71">
        <v>6490.4189862291241</v>
      </c>
      <c r="BO64" s="72">
        <v>300</v>
      </c>
      <c r="BP64" s="73">
        <f t="shared" si="11"/>
        <v>3510.1312628186347</v>
      </c>
    </row>
    <row r="65" spans="1:68" x14ac:dyDescent="0.2">
      <c r="A65" s="80" t="s">
        <v>30</v>
      </c>
      <c r="B65" s="77">
        <f t="shared" si="29"/>
        <v>18.799999999999997</v>
      </c>
      <c r="C65" s="77">
        <f t="shared" si="30"/>
        <v>25.849999999999998</v>
      </c>
      <c r="D65" s="77">
        <f t="shared" si="31"/>
        <v>18.799999999999997</v>
      </c>
      <c r="E65" s="94"/>
      <c r="G65"/>
      <c r="H65"/>
      <c r="I65"/>
      <c r="J65"/>
      <c r="K65"/>
      <c r="L65"/>
      <c r="M65"/>
      <c r="N65"/>
      <c r="O65"/>
      <c r="P65" s="125"/>
      <c r="AQ65" s="55"/>
      <c r="AR65" s="71">
        <v>4359.9765602109583</v>
      </c>
      <c r="AS65" s="71">
        <v>4994.1986522121306</v>
      </c>
      <c r="AT65" s="71">
        <v>6003.6917667740991</v>
      </c>
      <c r="AU65" s="71">
        <v>7819.3671256958696</v>
      </c>
      <c r="AV65" s="71">
        <v>9243.598007617933</v>
      </c>
      <c r="AW65" s="72">
        <v>285</v>
      </c>
      <c r="AX65" s="73">
        <f t="shared" si="9"/>
        <v>5697.5174333431005</v>
      </c>
      <c r="BA65" s="18">
        <v>1518.3416349252859</v>
      </c>
      <c r="BB65" s="18">
        <v>1801.4356870788165</v>
      </c>
      <c r="BC65" s="18">
        <v>1907.3249340755933</v>
      </c>
      <c r="BD65" s="18">
        <v>3495.9859361265749</v>
      </c>
      <c r="BE65" s="18">
        <v>4295.4585408731318</v>
      </c>
      <c r="BF65" s="1">
        <v>250</v>
      </c>
      <c r="BG65" s="73">
        <f t="shared" si="10"/>
        <v>2164.5241722824499</v>
      </c>
      <c r="BJ65" s="71">
        <v>2266.1002050981542</v>
      </c>
      <c r="BK65" s="71">
        <v>2689.3348959859363</v>
      </c>
      <c r="BL65" s="71">
        <v>2743.8910049809551</v>
      </c>
      <c r="BM65" s="71">
        <v>4721.4474069733369</v>
      </c>
      <c r="BN65" s="71">
        <v>5850.2783474948728</v>
      </c>
      <c r="BO65" s="72">
        <v>285</v>
      </c>
      <c r="BP65" s="73">
        <f t="shared" si="11"/>
        <v>3107.3448578962789</v>
      </c>
    </row>
    <row r="66" spans="1:68" x14ac:dyDescent="0.2">
      <c r="A66" s="82" t="s">
        <v>136</v>
      </c>
      <c r="B66" s="77">
        <f t="shared" si="29"/>
        <v>42.839999999999996</v>
      </c>
      <c r="C66" s="77">
        <f t="shared" si="30"/>
        <v>127.88999999999999</v>
      </c>
      <c r="D66" s="77">
        <f t="shared" si="31"/>
        <v>110.07359999999998</v>
      </c>
      <c r="E66" s="94"/>
      <c r="G66"/>
      <c r="H66"/>
      <c r="I66"/>
      <c r="J66"/>
      <c r="K66"/>
      <c r="L66"/>
      <c r="M66"/>
      <c r="N66"/>
      <c r="O66"/>
      <c r="P66" s="125"/>
      <c r="AQ66" s="55"/>
      <c r="AR66" s="71">
        <v>3932.8157046586584</v>
      </c>
      <c r="AS66" s="71">
        <v>4507.0319367125694</v>
      </c>
      <c r="AT66" s="71">
        <v>5457.3395839437453</v>
      </c>
      <c r="AU66" s="71">
        <v>7166.3639027248755</v>
      </c>
      <c r="AV66" s="71">
        <v>8486.7858189276303</v>
      </c>
      <c r="AW66" s="72">
        <v>270</v>
      </c>
      <c r="AX66" s="73">
        <f t="shared" si="9"/>
        <v>5172.4198652212126</v>
      </c>
      <c r="BA66" s="18">
        <v>1248.5496630530326</v>
      </c>
      <c r="BB66" s="18">
        <v>1483.7093466158803</v>
      </c>
      <c r="BC66" s="18">
        <v>1565.8951069440375</v>
      </c>
      <c r="BD66" s="18">
        <v>3012.9211837093467</v>
      </c>
      <c r="BE66" s="18">
        <v>3710.9581013770876</v>
      </c>
      <c r="BF66" s="1">
        <v>235</v>
      </c>
      <c r="BG66" s="73">
        <f t="shared" si="10"/>
        <v>1812.0219748022266</v>
      </c>
      <c r="BJ66" s="71">
        <v>1963.1702314679169</v>
      </c>
      <c r="BK66" s="71">
        <v>2324.0550835042486</v>
      </c>
      <c r="BL66" s="71">
        <v>2366.9791971872255</v>
      </c>
      <c r="BM66" s="71">
        <v>4216.8766481101675</v>
      </c>
      <c r="BN66" s="71">
        <v>5216.3492528567249</v>
      </c>
      <c r="BO66" s="72">
        <v>270</v>
      </c>
      <c r="BP66" s="73">
        <f t="shared" si="11"/>
        <v>2715.7776150014652</v>
      </c>
    </row>
    <row r="67" spans="1:68" x14ac:dyDescent="0.2">
      <c r="A67" s="74" t="s">
        <v>151</v>
      </c>
      <c r="B67" s="77">
        <f t="shared" si="29"/>
        <v>0</v>
      </c>
      <c r="C67" s="77">
        <f t="shared" si="30"/>
        <v>0</v>
      </c>
      <c r="D67" s="77">
        <f t="shared" si="31"/>
        <v>112.89600000000002</v>
      </c>
      <c r="E67" s="94"/>
      <c r="G67"/>
      <c r="H67"/>
      <c r="I67"/>
      <c r="J67"/>
      <c r="K67"/>
      <c r="L67"/>
      <c r="M67"/>
      <c r="N67"/>
      <c r="O67"/>
      <c r="P67" s="125"/>
      <c r="AR67" s="71">
        <v>3510.020509815412</v>
      </c>
      <c r="AS67" s="71">
        <v>4028.8895399941403</v>
      </c>
      <c r="AT67" s="71">
        <v>4915.939056548491</v>
      </c>
      <c r="AU67" s="71">
        <v>6517.3454438910057</v>
      </c>
      <c r="AV67" s="71">
        <v>7736.5660709053627</v>
      </c>
      <c r="AW67" s="72">
        <v>255</v>
      </c>
      <c r="AX67" s="73">
        <f t="shared" si="9"/>
        <v>4653.9021388807505</v>
      </c>
      <c r="BA67" s="18">
        <v>998.24201582185765</v>
      </c>
      <c r="BB67" s="18">
        <v>1186.9030178728392</v>
      </c>
      <c r="BC67" s="18">
        <v>1256.5191913272781</v>
      </c>
      <c r="BD67" s="18">
        <v>2561.7931438617052</v>
      </c>
      <c r="BE67" s="18">
        <v>3153.6185174333432</v>
      </c>
      <c r="BF67" s="1">
        <v>220</v>
      </c>
      <c r="BG67" s="73">
        <f t="shared" si="10"/>
        <v>1483.8496923527689</v>
      </c>
      <c r="BJ67" s="71">
        <v>1679.343685906827</v>
      </c>
      <c r="BK67" s="71">
        <v>1976.443012012892</v>
      </c>
      <c r="BL67" s="71">
        <v>2005.3911514796366</v>
      </c>
      <c r="BM67" s="71">
        <v>3724.0843832405508</v>
      </c>
      <c r="BN67" s="71">
        <v>4590.2724875476124</v>
      </c>
      <c r="BO67" s="72">
        <v>255</v>
      </c>
      <c r="BP67" s="73">
        <f t="shared" si="11"/>
        <v>2340.3413419279227</v>
      </c>
    </row>
    <row r="68" spans="1:68" x14ac:dyDescent="0.2">
      <c r="A68" s="94" t="s">
        <v>33</v>
      </c>
      <c r="B68" s="77">
        <f>SUM(B61:B67)</f>
        <v>302.03943396226413</v>
      </c>
      <c r="C68" s="77">
        <f>SUM(C61:C67)</f>
        <v>699.73026415094341</v>
      </c>
      <c r="D68" s="77">
        <f>SUM(D61:D67)</f>
        <v>691.34095849056598</v>
      </c>
      <c r="E68" s="77">
        <f>($I$45*B68)+($J$45*C68)+($K$45*D68)</f>
        <v>698.05240301886795</v>
      </c>
      <c r="F68" s="59"/>
      <c r="G68" s="57"/>
      <c r="M68"/>
      <c r="N68"/>
      <c r="AR68" s="71">
        <v>3092.7043656607093</v>
      </c>
      <c r="AS68" s="71">
        <v>3559.6542631116322</v>
      </c>
      <c r="AT68" s="71">
        <v>4382.7424553179026</v>
      </c>
      <c r="AU68" s="71">
        <v>5876.7946088485205</v>
      </c>
      <c r="AV68" s="71">
        <v>6996.5719308526222</v>
      </c>
      <c r="AW68" s="72">
        <v>240</v>
      </c>
      <c r="AX68" s="73">
        <f t="shared" ref="AX68:AX74" si="32">(AR$2*AR68)+(AS$2*AS68)+(AT$2*AT68)+(AU$2*AU68)+(AV$2*AV68)</f>
        <v>4143.5136243773804</v>
      </c>
      <c r="BA68" s="18">
        <v>771.37415763258127</v>
      </c>
      <c r="BB68" s="18">
        <v>914.4740697333724</v>
      </c>
      <c r="BC68" s="18">
        <v>970.40726633460304</v>
      </c>
      <c r="BD68" s="18">
        <v>2144.7113975974216</v>
      </c>
      <c r="BE68" s="18">
        <v>2634.3099912100793</v>
      </c>
      <c r="BF68" s="1">
        <v>205</v>
      </c>
      <c r="BG68" s="73">
        <f t="shared" ref="BG68:BG73" si="33">(BA$2*BA68)+(BB$2*BB68)+(BC$2*BC68)+(BD$2*BD68)+(BE$2*BE68)</f>
        <v>1181.9698212716085</v>
      </c>
      <c r="BJ68" s="71">
        <v>1408.8192206270146</v>
      </c>
      <c r="BK68" s="71">
        <v>1643.6566070905362</v>
      </c>
      <c r="BL68" s="71">
        <v>1665.1919132727808</v>
      </c>
      <c r="BM68" s="71">
        <v>3245.4438910049812</v>
      </c>
      <c r="BN68" s="71">
        <v>3989.3934954585407</v>
      </c>
      <c r="BO68" s="72">
        <v>240</v>
      </c>
      <c r="BP68" s="73">
        <f t="shared" ref="BP68:BP74" si="34">(BJ$2*BJ68)+(BK$2*BK68)+(BL$2*BL68)+(BM$2*BM68)+(BN$2*BN68)</f>
        <v>1980.9317316144156</v>
      </c>
    </row>
    <row r="69" spans="1:68" x14ac:dyDescent="0.2">
      <c r="A69" s="122" t="s">
        <v>132</v>
      </c>
      <c r="B69" s="123">
        <f ca="1">IF(ISNA(INDEX($AW$4:$AX$74,MATCH(B68,$AW$4:$AW$74,0),1)),TREND(OFFSET(INDEX($AW$4:$AX$74,MATCH(B68,$AW$4:$AW$74,-1),2),0,0,2,1),OFFSET(INDEX($AW$4:$AX$74,MATCH(B68,$AW$4:$AW$74,-1),1),0,0,2,1),B68),INDEX($AW$4:$AX$74,MATCH(B68,$AW$4:$AW$74,0),2))</f>
        <v>6302.3008081420085</v>
      </c>
      <c r="C69" s="123">
        <f ca="1">IF(ISNA(INDEX($BF$4:$BG$73,MATCH(C68,$BF$4:$BF$73,0),1)),TREND(OFFSET(INDEX($BF$4:$BG$73,MATCH(C68,$BF$4:$BF$73,-1),2),0,0,2,1),OFFSET(INDEX($BF$4:$BG$73,MATCH(C68,$BF$4:$BF$73,-1),1),0,0,2,1),C68),INDEX($BF$4:$BG$73,MATCH(C68,$BF$4:$BF$73,0),2))</f>
        <v>16668.503517205212</v>
      </c>
      <c r="D69" s="123">
        <f ca="1">IF(ISNA(INDEX($BO$4:$BP$74,MATCH(D68,$BO$4:$BO$74,0),1)),TREND(OFFSET(INDEX($BO$4:$BP$74,MATCH(D68,$BO$4:$BO$74,-1),2),0,0,2,1),OFFSET(INDEX($BO$4:$BP$74,MATCH(D68,$BO$4:$BO$74,-1),1),0,0,2,1),D68),INDEX($BO$4:$BP$74,MATCH(D68,$BO$4:$BO$74,0),2))</f>
        <v>16561.689794670834</v>
      </c>
      <c r="E69" s="123">
        <f ca="1">($I$45*B69)+($J$45*C69)+($K$45*D69)</f>
        <v>16647.140772698338</v>
      </c>
      <c r="G69" s="59"/>
      <c r="M69"/>
      <c r="N69"/>
      <c r="AR69" s="71">
        <v>2683.2698505713452</v>
      </c>
      <c r="AS69" s="71">
        <v>3097.245824787577</v>
      </c>
      <c r="AT69" s="71">
        <v>3860.4746557280982</v>
      </c>
      <c r="AU69" s="71">
        <v>5246.6158804570759</v>
      </c>
      <c r="AV69" s="71">
        <v>6266.8033987694107</v>
      </c>
      <c r="AW69" s="72">
        <v>225</v>
      </c>
      <c r="AX69" s="73">
        <f t="shared" si="32"/>
        <v>3641.5139173747434</v>
      </c>
      <c r="BA69" s="18">
        <v>563.87342513917383</v>
      </c>
      <c r="BB69" s="18">
        <v>679.90038089657196</v>
      </c>
      <c r="BC69" s="18">
        <v>712.77468502783472</v>
      </c>
      <c r="BD69" s="18">
        <v>1748.4324641078231</v>
      </c>
      <c r="BE69" s="18">
        <v>2149.5458540873133</v>
      </c>
      <c r="BF69" s="1">
        <v>190</v>
      </c>
      <c r="BG69" s="73">
        <f t="shared" si="33"/>
        <v>910.08467623791387</v>
      </c>
      <c r="BJ69" s="71">
        <v>1146.7330794022855</v>
      </c>
      <c r="BK69" s="71">
        <v>1334.6908877820101</v>
      </c>
      <c r="BL69" s="71">
        <v>1339.9648403164372</v>
      </c>
      <c r="BM69" s="71">
        <v>2789.2762965133315</v>
      </c>
      <c r="BN69" s="71">
        <v>3432.0539115147967</v>
      </c>
      <c r="BO69" s="72">
        <v>225</v>
      </c>
      <c r="BP69" s="73">
        <f t="shared" si="34"/>
        <v>1641.9200117198945</v>
      </c>
    </row>
    <row r="70" spans="1:68" x14ac:dyDescent="0.2">
      <c r="A70" s="82" t="s">
        <v>133</v>
      </c>
      <c r="B70" s="89">
        <f ca="1">B69/$I$44</f>
        <v>7.4144715389905986</v>
      </c>
      <c r="C70" s="89">
        <f ca="1">C69/$J$44</f>
        <v>7.5765925078205507</v>
      </c>
      <c r="D70" s="89">
        <f ca="1">D69/$K$44</f>
        <v>7.5831912979262057</v>
      </c>
      <c r="E70" s="89">
        <f ca="1">E69/$L$44</f>
        <v>7.5779045760644284</v>
      </c>
      <c r="G70" s="59"/>
      <c r="M70"/>
      <c r="N70"/>
      <c r="AR70" s="71">
        <v>2283.3577497802521</v>
      </c>
      <c r="AS70" s="71">
        <v>2650.4541459126867</v>
      </c>
      <c r="AT70" s="71">
        <v>3346.6744799296812</v>
      </c>
      <c r="AU70" s="71">
        <v>4626.3697626721359</v>
      </c>
      <c r="AV70" s="71">
        <v>5548.1980662174046</v>
      </c>
      <c r="AW70" s="72">
        <v>210</v>
      </c>
      <c r="AX70" s="73">
        <f t="shared" si="32"/>
        <v>3151.7198945209493</v>
      </c>
      <c r="BA70" s="18">
        <v>377.29270436566077</v>
      </c>
      <c r="BB70" s="18">
        <v>480.22267799589804</v>
      </c>
      <c r="BC70" s="18">
        <v>484.85203633167305</v>
      </c>
      <c r="BD70" s="18">
        <v>1372.8684441840026</v>
      </c>
      <c r="BE70" s="18">
        <v>1689.5399941400526</v>
      </c>
      <c r="BF70" s="1">
        <v>175</v>
      </c>
      <c r="BG70" s="73">
        <f t="shared" si="33"/>
        <v>666.78699091708188</v>
      </c>
      <c r="BJ70" s="71">
        <v>905.62554937005575</v>
      </c>
      <c r="BK70" s="71">
        <v>1052.2707295634341</v>
      </c>
      <c r="BL70" s="71">
        <v>1041.0196308233226</v>
      </c>
      <c r="BM70" s="71">
        <v>2353.1790213888075</v>
      </c>
      <c r="BN70" s="71">
        <v>2903.3987694110751</v>
      </c>
      <c r="BO70" s="72">
        <v>210</v>
      </c>
      <c r="BP70" s="73">
        <f t="shared" si="34"/>
        <v>1327.4579548784063</v>
      </c>
    </row>
    <row r="71" spans="1:68" x14ac:dyDescent="0.2">
      <c r="A71" s="54" t="s">
        <v>134</v>
      </c>
      <c r="B71" s="130">
        <f>B68/B60</f>
        <v>0.35534051054384014</v>
      </c>
      <c r="C71" s="130">
        <f>C68/C60</f>
        <v>0.31805921097770157</v>
      </c>
      <c r="D71" s="130">
        <f>D68/D60</f>
        <v>0.31654805791692581</v>
      </c>
      <c r="E71" s="130">
        <f>E68/E60</f>
        <v>0.31775874135964488</v>
      </c>
      <c r="G71" s="59"/>
      <c r="AR71" s="71">
        <v>1900.9375915616758</v>
      </c>
      <c r="AS71" s="71">
        <v>2214.8842660416058</v>
      </c>
      <c r="AT71" s="71">
        <v>2844.8578962789338</v>
      </c>
      <c r="AU71" s="71">
        <v>4014.0931731614419</v>
      </c>
      <c r="AV71" s="71">
        <v>4843.0120128918843</v>
      </c>
      <c r="AW71" s="72">
        <v>195</v>
      </c>
      <c r="AX71" s="73">
        <f t="shared" si="32"/>
        <v>2674.1599765602109</v>
      </c>
      <c r="BA71" s="18">
        <v>229.15323762086143</v>
      </c>
      <c r="BB71" s="18">
        <v>318.69323176091416</v>
      </c>
      <c r="BC71" s="18">
        <v>294.90184588338707</v>
      </c>
      <c r="BD71" s="18">
        <v>1022.0920011719895</v>
      </c>
      <c r="BE71" s="18">
        <v>1265.2212130090829</v>
      </c>
      <c r="BF71" s="1">
        <v>160</v>
      </c>
      <c r="BG71" s="73">
        <f t="shared" si="33"/>
        <v>459.51801933782599</v>
      </c>
      <c r="BJ71" s="71">
        <v>678.84559038968655</v>
      </c>
      <c r="BK71" s="71">
        <v>796.4840316437153</v>
      </c>
      <c r="BL71" s="71">
        <v>770.75886317023151</v>
      </c>
      <c r="BM71" s="71">
        <v>1941.8986229123939</v>
      </c>
      <c r="BN71" s="71">
        <v>2393.6712569586875</v>
      </c>
      <c r="BO71" s="72">
        <v>195</v>
      </c>
      <c r="BP71" s="73">
        <f t="shared" si="34"/>
        <v>1036.740990331087</v>
      </c>
    </row>
    <row r="72" spans="1:68" x14ac:dyDescent="0.2">
      <c r="A72" s="54" t="s">
        <v>135</v>
      </c>
      <c r="B72" s="57">
        <f>(B68-B64)/B60</f>
        <v>0.27709411764705877</v>
      </c>
      <c r="C72" s="57">
        <f>(C68-C64)/C60</f>
        <v>0.20034909090909092</v>
      </c>
      <c r="D72" s="57">
        <f>(D68-D64)/D60</f>
        <v>0.21449798534798531</v>
      </c>
      <c r="E72" s="132">
        <f>(E68-E64)/E60</f>
        <v>0.20316238164603059</v>
      </c>
      <c r="G72"/>
      <c r="H72"/>
      <c r="I72"/>
      <c r="J72"/>
      <c r="K72"/>
      <c r="L72"/>
      <c r="AR72" s="71">
        <v>1532.3469088778202</v>
      </c>
      <c r="AS72" s="71">
        <v>1790.1259888661002</v>
      </c>
      <c r="AT72" s="71">
        <v>2358.5115733958396</v>
      </c>
      <c r="AU72" s="71">
        <v>3409.6103135071785</v>
      </c>
      <c r="AV72" s="71">
        <v>4156.3433929094645</v>
      </c>
      <c r="AW72" s="72">
        <v>180</v>
      </c>
      <c r="AX72" s="73">
        <f t="shared" si="32"/>
        <v>2208.7237034866685</v>
      </c>
      <c r="BA72" s="18">
        <v>123.96718429534135</v>
      </c>
      <c r="BB72" s="18">
        <v>180.22267799589807</v>
      </c>
      <c r="BC72" s="18">
        <v>138.61705244652799</v>
      </c>
      <c r="BD72" s="18">
        <v>701.84588338704953</v>
      </c>
      <c r="BE72" s="18">
        <v>895.83943744506303</v>
      </c>
      <c r="BF72" s="1">
        <v>145</v>
      </c>
      <c r="BG72" s="73">
        <f t="shared" si="33"/>
        <v>283.91122179900384</v>
      </c>
      <c r="BJ72" s="71">
        <v>474.97802519777321</v>
      </c>
      <c r="BK72" s="71">
        <v>571.11046000585998</v>
      </c>
      <c r="BL72" s="71">
        <v>528.94813946674481</v>
      </c>
      <c r="BM72" s="71">
        <v>1547.3190741283329</v>
      </c>
      <c r="BN72" s="71">
        <v>1904.7172575446823</v>
      </c>
      <c r="BO72" s="72">
        <v>180</v>
      </c>
      <c r="BP72" s="73">
        <f t="shared" si="34"/>
        <v>772.00732493407554</v>
      </c>
    </row>
    <row r="73" spans="1:68" x14ac:dyDescent="0.2">
      <c r="G73"/>
      <c r="H73"/>
      <c r="I73"/>
      <c r="J73"/>
      <c r="K73"/>
      <c r="L73"/>
      <c r="Q73"/>
      <c r="R73"/>
      <c r="S73"/>
      <c r="T73"/>
      <c r="U73"/>
      <c r="V73"/>
      <c r="AR73" s="71">
        <v>1177.3513038382655</v>
      </c>
      <c r="AS73" s="71">
        <v>1385.3208321125112</v>
      </c>
      <c r="AT73" s="71">
        <v>1892.7043656607093</v>
      </c>
      <c r="AU73" s="71">
        <v>2826.0181658365077</v>
      </c>
      <c r="AV73" s="71">
        <v>3483.9437445062999</v>
      </c>
      <c r="AW73" s="72">
        <v>165</v>
      </c>
      <c r="AX73" s="73">
        <f t="shared" si="32"/>
        <v>1761.8564312921187</v>
      </c>
      <c r="BA73" s="18">
        <v>57.486082625256373</v>
      </c>
      <c r="BB73" s="18">
        <v>80.750073249340772</v>
      </c>
      <c r="BC73" s="18">
        <v>45.26809258716672</v>
      </c>
      <c r="BD73" s="18">
        <v>437.12276589510702</v>
      </c>
      <c r="BE73" s="18">
        <v>580.19337825959576</v>
      </c>
      <c r="BF73" s="1">
        <v>130</v>
      </c>
      <c r="BG73" s="73">
        <f t="shared" si="33"/>
        <v>154.19748022267802</v>
      </c>
      <c r="BJ73" s="71">
        <v>299.20890711983594</v>
      </c>
      <c r="BK73" s="71">
        <v>377.05830647524175</v>
      </c>
      <c r="BL73" s="71">
        <v>317.96073835335483</v>
      </c>
      <c r="BM73" s="71">
        <v>1172.751245238793</v>
      </c>
      <c r="BN73" s="71">
        <v>1465.543510108409</v>
      </c>
      <c r="BO73" s="72">
        <v>165</v>
      </c>
      <c r="BP73" s="73">
        <f t="shared" si="34"/>
        <v>537.28684441840028</v>
      </c>
    </row>
    <row r="74" spans="1:68" x14ac:dyDescent="0.2">
      <c r="A74" s="120" t="s">
        <v>138</v>
      </c>
      <c r="B74" s="84"/>
      <c r="C74" s="84"/>
      <c r="D74" s="84"/>
      <c r="E74" s="119" t="s">
        <v>34</v>
      </c>
      <c r="G74"/>
      <c r="H74"/>
      <c r="I74"/>
      <c r="J74"/>
      <c r="K74"/>
      <c r="L74"/>
      <c r="Q74"/>
      <c r="R74"/>
      <c r="S74"/>
      <c r="T74"/>
      <c r="U74"/>
      <c r="V74"/>
      <c r="AR74" s="71">
        <v>850.71784353940814</v>
      </c>
      <c r="AS74" s="71">
        <v>1014.5033694696748</v>
      </c>
      <c r="AT74" s="71">
        <v>1451.5675358921769</v>
      </c>
      <c r="AU74" s="71">
        <v>2261.7931438617052</v>
      </c>
      <c r="AV74" s="71">
        <v>2825.2270729563434</v>
      </c>
      <c r="AW74" s="72">
        <v>150</v>
      </c>
      <c r="AX74" s="73">
        <f t="shared" si="32"/>
        <v>1343.0427776150016</v>
      </c>
      <c r="BJ74" s="71">
        <v>159.91796073835334</v>
      </c>
      <c r="BK74" s="71">
        <v>218.89832991503079</v>
      </c>
      <c r="BL74" s="71">
        <v>147.58277175505421</v>
      </c>
      <c r="BM74" s="71">
        <v>831.43861705244649</v>
      </c>
      <c r="BN74" s="71">
        <v>1026.3697626721441</v>
      </c>
      <c r="BO74" s="72">
        <v>150</v>
      </c>
      <c r="BP74" s="73">
        <f t="shared" si="34"/>
        <v>336.73425139173793</v>
      </c>
    </row>
    <row r="75" spans="1:68" x14ac:dyDescent="0.2">
      <c r="A75" s="82"/>
      <c r="B75" s="94">
        <v>850</v>
      </c>
      <c r="C75" s="94">
        <v>2200</v>
      </c>
      <c r="D75" s="94">
        <v>2184</v>
      </c>
      <c r="E75" s="77">
        <f>($I$45*B75)+($J$45*C75)+($K$45*D75)</f>
        <v>2196.8000000000002</v>
      </c>
      <c r="G75"/>
      <c r="H75"/>
      <c r="I75"/>
      <c r="J75"/>
      <c r="K75"/>
      <c r="L75"/>
      <c r="Q75"/>
      <c r="R75"/>
      <c r="S75"/>
      <c r="T75"/>
      <c r="U75"/>
      <c r="V75"/>
    </row>
    <row r="76" spans="1:68" x14ac:dyDescent="0.2">
      <c r="A76" s="74" t="s">
        <v>26</v>
      </c>
      <c r="B76" s="77">
        <f t="shared" ref="B76:B82" si="35">VLOOKUP(A76,$A$5:$H$33,6,FALSE)</f>
        <v>76.14</v>
      </c>
      <c r="C76" s="77">
        <f t="shared" ref="C76:C82" si="36">VLOOKUP(A76,$A$5:$H$33,7,FALSE)</f>
        <v>199.46799999999999</v>
      </c>
      <c r="D76" s="77">
        <f t="shared" ref="D76:D82" si="37">VLOOKUP(A76,$A$5:$H$33,8,FALSE)</f>
        <v>142.97399999999999</v>
      </c>
      <c r="E76" s="94"/>
      <c r="G76"/>
      <c r="H76"/>
      <c r="I76"/>
      <c r="J76"/>
      <c r="K76"/>
      <c r="L76"/>
      <c r="Q76"/>
      <c r="R76"/>
      <c r="S76"/>
      <c r="T76"/>
      <c r="U76"/>
      <c r="V76"/>
    </row>
    <row r="77" spans="1:68" x14ac:dyDescent="0.2">
      <c r="A77" s="74" t="s">
        <v>95</v>
      </c>
      <c r="B77" s="77">
        <f t="shared" si="35"/>
        <v>36.549999999999997</v>
      </c>
      <c r="C77" s="77">
        <f t="shared" si="36"/>
        <v>21.757999999999999</v>
      </c>
      <c r="D77" s="77">
        <f t="shared" si="37"/>
        <v>31.303999999999998</v>
      </c>
      <c r="E77" s="94"/>
      <c r="G77"/>
      <c r="H77"/>
      <c r="I77"/>
      <c r="J77"/>
      <c r="K77"/>
      <c r="L77"/>
      <c r="Q77"/>
      <c r="R77"/>
      <c r="S77"/>
      <c r="T77"/>
      <c r="U77"/>
      <c r="V77"/>
    </row>
    <row r="78" spans="1:68" x14ac:dyDescent="0.2">
      <c r="A78" s="74" t="s">
        <v>28</v>
      </c>
      <c r="B78" s="77">
        <f t="shared" si="35"/>
        <v>46.75</v>
      </c>
      <c r="C78" s="77">
        <f t="shared" si="36"/>
        <v>57.2</v>
      </c>
      <c r="D78" s="77">
        <f t="shared" si="37"/>
        <v>40.04</v>
      </c>
      <c r="E78" s="77">
        <f>($I$45*B78)+($J$45*C78)+($K$45*D78)</f>
        <v>53.768000000000008</v>
      </c>
      <c r="F78" s="106">
        <f>E78/E75</f>
        <v>2.4475600873998544E-2</v>
      </c>
      <c r="G78"/>
      <c r="H78"/>
      <c r="I78"/>
      <c r="J78"/>
      <c r="K78"/>
      <c r="L78"/>
      <c r="Q78"/>
      <c r="R78"/>
      <c r="S78"/>
      <c r="T78"/>
      <c r="U78"/>
      <c r="V78"/>
      <c r="W78" s="55"/>
      <c r="X78" s="55"/>
      <c r="Y78" s="55"/>
      <c r="Z78" s="55"/>
      <c r="AA78" s="55"/>
      <c r="AD78" s="55"/>
      <c r="AE78" s="55"/>
      <c r="AF78" s="55"/>
      <c r="AG78" s="55"/>
      <c r="AH78" s="55"/>
    </row>
    <row r="79" spans="1:68" x14ac:dyDescent="0.2">
      <c r="A79" s="74" t="s">
        <v>61</v>
      </c>
      <c r="B79" s="77">
        <f t="shared" si="35"/>
        <v>66.50943396226414</v>
      </c>
      <c r="C79" s="77">
        <f t="shared" si="36"/>
        <v>258.96226415094338</v>
      </c>
      <c r="D79" s="77">
        <f t="shared" si="37"/>
        <v>222.87735849056602</v>
      </c>
      <c r="E79" s="77">
        <f>($I$45*B79)+($J$45*C79)+($K$45*D79)</f>
        <v>251.74528301886792</v>
      </c>
      <c r="G79"/>
      <c r="H79"/>
      <c r="I79"/>
      <c r="J79"/>
      <c r="K79"/>
      <c r="L79"/>
      <c r="Q79"/>
      <c r="R79"/>
      <c r="S79"/>
      <c r="T79"/>
      <c r="U79"/>
      <c r="V79"/>
      <c r="W79" s="55"/>
      <c r="X79" s="55"/>
      <c r="Y79" s="55"/>
      <c r="Z79" s="55"/>
      <c r="AA79" s="55"/>
      <c r="AD79" s="55"/>
      <c r="AE79" s="55"/>
      <c r="AF79" s="55"/>
      <c r="AG79" s="55"/>
      <c r="AH79" s="55"/>
    </row>
    <row r="80" spans="1:68" x14ac:dyDescent="0.2">
      <c r="A80" s="80" t="s">
        <v>30</v>
      </c>
      <c r="B80" s="77">
        <f t="shared" si="35"/>
        <v>18.799999999999997</v>
      </c>
      <c r="C80" s="77">
        <f t="shared" si="36"/>
        <v>25.849999999999998</v>
      </c>
      <c r="D80" s="77">
        <f t="shared" si="37"/>
        <v>18.799999999999997</v>
      </c>
      <c r="E80" s="94"/>
      <c r="G80"/>
      <c r="H80"/>
      <c r="I80"/>
      <c r="J80"/>
      <c r="K80"/>
      <c r="L80"/>
      <c r="Q80"/>
      <c r="R80"/>
      <c r="S80"/>
      <c r="T80"/>
      <c r="U80"/>
      <c r="V80"/>
      <c r="W80" s="55"/>
      <c r="X80" s="55"/>
      <c r="Y80" s="55"/>
      <c r="Z80" s="55"/>
      <c r="AA80" s="55"/>
      <c r="AD80" s="55"/>
      <c r="AE80" s="55"/>
      <c r="AF80" s="55"/>
      <c r="AG80" s="55"/>
      <c r="AH80" s="55"/>
    </row>
    <row r="81" spans="1:34" x14ac:dyDescent="0.2">
      <c r="A81" s="82" t="s">
        <v>136</v>
      </c>
      <c r="B81" s="77">
        <f t="shared" si="35"/>
        <v>42.839999999999996</v>
      </c>
      <c r="C81" s="77">
        <f t="shared" si="36"/>
        <v>127.88999999999999</v>
      </c>
      <c r="D81" s="77">
        <f t="shared" si="37"/>
        <v>110.07359999999998</v>
      </c>
      <c r="E81" s="94"/>
      <c r="G81"/>
      <c r="H81"/>
      <c r="I81"/>
      <c r="J81"/>
      <c r="K81"/>
      <c r="L81"/>
      <c r="Q81"/>
      <c r="R81"/>
      <c r="S81"/>
      <c r="T81"/>
      <c r="U81"/>
      <c r="V81"/>
      <c r="W81" s="55"/>
      <c r="X81" s="55"/>
      <c r="Y81" s="55"/>
      <c r="Z81" s="55"/>
      <c r="AA81" s="55"/>
      <c r="AD81" s="55"/>
      <c r="AE81" s="55"/>
      <c r="AF81" s="55"/>
      <c r="AG81" s="55"/>
      <c r="AH81" s="55"/>
    </row>
    <row r="82" spans="1:34" x14ac:dyDescent="0.2">
      <c r="A82" s="74" t="s">
        <v>151</v>
      </c>
      <c r="B82" s="77">
        <f t="shared" si="35"/>
        <v>0</v>
      </c>
      <c r="C82" s="77">
        <f t="shared" si="36"/>
        <v>0</v>
      </c>
      <c r="D82" s="77">
        <f t="shared" si="37"/>
        <v>112.89600000000002</v>
      </c>
      <c r="E82" s="94"/>
      <c r="G82"/>
      <c r="H82"/>
      <c r="I82"/>
      <c r="J82"/>
      <c r="K82"/>
      <c r="L82"/>
      <c r="Q82"/>
      <c r="R82"/>
      <c r="S82"/>
      <c r="T82"/>
      <c r="U82"/>
      <c r="V82"/>
      <c r="W82" s="55"/>
      <c r="X82" s="55"/>
      <c r="Y82" s="55"/>
      <c r="Z82" s="55"/>
      <c r="AA82" s="55"/>
      <c r="AD82" s="55"/>
      <c r="AE82" s="55"/>
      <c r="AF82" s="55"/>
      <c r="AG82" s="55"/>
      <c r="AH82" s="55"/>
    </row>
    <row r="83" spans="1:34" x14ac:dyDescent="0.2">
      <c r="A83" s="94" t="s">
        <v>33</v>
      </c>
      <c r="B83" s="77">
        <f>SUM(B76:B82)</f>
        <v>287.58943396226414</v>
      </c>
      <c r="C83" s="77">
        <f>SUM(C76:C82)</f>
        <v>691.12826415094332</v>
      </c>
      <c r="D83" s="77">
        <f>SUM(D76:D82)</f>
        <v>678.964958490566</v>
      </c>
      <c r="E83" s="77">
        <f>($I$45*B83)+($J$45*C83)+($K$45*D83)</f>
        <v>688.69560301886781</v>
      </c>
      <c r="G83"/>
      <c r="H83"/>
      <c r="I83"/>
      <c r="J83"/>
      <c r="K83"/>
      <c r="L83"/>
      <c r="Q83"/>
      <c r="R83"/>
      <c r="S83"/>
      <c r="T83"/>
      <c r="U83"/>
      <c r="V83"/>
      <c r="W83" s="55"/>
      <c r="X83" s="55"/>
      <c r="Y83" s="55"/>
      <c r="Z83" s="55"/>
      <c r="AA83" s="55"/>
      <c r="AD83" s="55"/>
      <c r="AE83" s="55"/>
      <c r="AF83" s="55"/>
      <c r="AG83" s="55"/>
      <c r="AH83" s="55"/>
    </row>
    <row r="84" spans="1:34" x14ac:dyDescent="0.2">
      <c r="A84" s="122" t="s">
        <v>132</v>
      </c>
      <c r="B84" s="123">
        <f ca="1">IF(ISNA(INDEX($AW$4:$AX$74,MATCH(B83,$AW$4:$AW$74,0),1)),TREND(OFFSET(INDEX($AW$4:$AX$74,MATCH(B83,$AW$4:$AW$74,-1),2),0,0,2,1),OFFSET(INDEX($AW$4:$AX$74,MATCH(B83,$AW$4:$AW$74,-1),1),0,0,2,1),B83),INDEX($AW$4:$AX$74,MATCH(B83,$AW$4:$AW$74,0),2))</f>
        <v>5789.3012465913707</v>
      </c>
      <c r="C84" s="123">
        <f ca="1">IF(ISNA(INDEX($BF$4:$BG$73,MATCH(C83,$BF$4:$BF$73,0),1)),TREND(OFFSET(INDEX($BF$4:$BG$73,MATCH(C83,$BF$4:$BF$73,-1),2),0,0,2,1),OFFSET(INDEX($BF$4:$BG$73,MATCH(C83,$BF$4:$BF$73,-1),1),0,0,2,1),C83),INDEX($BF$4:$BG$73,MATCH(C83,$BF$4:$BF$73,0),2))</f>
        <v>16358.34945571483</v>
      </c>
      <c r="D84" s="123">
        <f ca="1">IF(ISNA(INDEX($BO$4:$BP$74,MATCH(D83,$BO$4:$BO$74,0),1)),TREND(OFFSET(INDEX($BO$4:$BP$74,MATCH(D83,$BO$4:$BO$74,-1),2),0,0,2,1),OFFSET(INDEX($BO$4:$BP$74,MATCH(D83,$BO$4:$BO$74,-1),1),0,0,2,1),D83),INDEX($BO$4:$BP$74,MATCH(D83,$BO$4:$BO$74,0),2))</f>
        <v>16112.346761602528</v>
      </c>
      <c r="E84" s="123">
        <f ca="1">($I$45*B84)+($J$45*C84)+($K$45*D84)</f>
        <v>16309.148916892371</v>
      </c>
      <c r="G84"/>
      <c r="H84"/>
      <c r="I84"/>
      <c r="J84"/>
      <c r="K84"/>
      <c r="L84"/>
      <c r="Q84"/>
      <c r="R84"/>
      <c r="S84"/>
      <c r="T84"/>
      <c r="U84"/>
      <c r="V84"/>
      <c r="W84" s="55"/>
      <c r="X84" s="55"/>
      <c r="Y84" s="55"/>
      <c r="Z84" s="55"/>
      <c r="AA84" s="55"/>
      <c r="AD84" s="55"/>
      <c r="AE84" s="55"/>
      <c r="AF84" s="55"/>
      <c r="AG84" s="55"/>
      <c r="AH84" s="55"/>
    </row>
    <row r="85" spans="1:34" x14ac:dyDescent="0.2">
      <c r="A85" s="82" t="s">
        <v>133</v>
      </c>
      <c r="B85" s="89">
        <f ca="1">B84/$I$44</f>
        <v>6.810942643048671</v>
      </c>
      <c r="C85" s="89">
        <f ca="1">C84/$J$44</f>
        <v>7.4356133889612863</v>
      </c>
      <c r="D85" s="89">
        <f ca="1">D84/$K$44</f>
        <v>7.3774481509169085</v>
      </c>
      <c r="E85" s="89">
        <f ca="1">E84/$L$44</f>
        <v>7.4240481231301754</v>
      </c>
      <c r="F85" s="55"/>
      <c r="G85" s="55"/>
      <c r="H85" s="55"/>
      <c r="I85" s="55"/>
      <c r="Q85"/>
      <c r="R85"/>
      <c r="S85"/>
      <c r="T85"/>
      <c r="U85"/>
      <c r="V85"/>
      <c r="W85" s="55"/>
      <c r="X85" s="55"/>
      <c r="Y85" s="55"/>
      <c r="Z85" s="55"/>
      <c r="AA85" s="55"/>
      <c r="AD85" s="55"/>
      <c r="AE85" s="55"/>
      <c r="AF85" s="55"/>
      <c r="AG85" s="55"/>
      <c r="AH85" s="55"/>
    </row>
    <row r="86" spans="1:34" x14ac:dyDescent="0.2">
      <c r="A86" s="54" t="s">
        <v>134</v>
      </c>
      <c r="B86" s="130">
        <f>B83/B75</f>
        <v>0.33834051054384018</v>
      </c>
      <c r="C86" s="130">
        <f>C83/C75</f>
        <v>0.31414921097770149</v>
      </c>
      <c r="D86" s="130">
        <f>D83/D75</f>
        <v>0.31088139125025915</v>
      </c>
      <c r="E86" s="130">
        <f>E83/E75</f>
        <v>0.3134994551251219</v>
      </c>
      <c r="F86" s="55"/>
      <c r="G86" s="55"/>
      <c r="H86" s="55"/>
      <c r="I86" s="55"/>
      <c r="Q86"/>
      <c r="R86"/>
      <c r="S86"/>
      <c r="T86"/>
      <c r="U86"/>
      <c r="V86"/>
      <c r="W86" s="55"/>
      <c r="X86" s="55"/>
      <c r="Y86" s="55"/>
      <c r="Z86" s="55"/>
      <c r="AA86" s="55"/>
      <c r="AD86" s="55"/>
      <c r="AE86" s="55"/>
      <c r="AF86" s="55"/>
      <c r="AG86" s="55"/>
      <c r="AH86" s="55"/>
    </row>
    <row r="87" spans="1:34" x14ac:dyDescent="0.2">
      <c r="A87" s="54" t="s">
        <v>135</v>
      </c>
      <c r="B87" s="57">
        <f>(B83-B79)/B75</f>
        <v>0.26009411764705881</v>
      </c>
      <c r="C87" s="57">
        <f>(C83-C79)/C75</f>
        <v>0.19643909090909087</v>
      </c>
      <c r="D87" s="57">
        <f>(D83-D79)/D75</f>
        <v>0.20883131868131866</v>
      </c>
      <c r="E87" s="132">
        <f>(E83-E79)/E75</f>
        <v>0.19890309541150761</v>
      </c>
      <c r="F87" s="55"/>
      <c r="G87" s="55"/>
      <c r="H87" s="55"/>
      <c r="I87" s="55"/>
      <c r="Q87"/>
      <c r="R87"/>
      <c r="S87"/>
      <c r="T87"/>
      <c r="U87"/>
      <c r="V87"/>
      <c r="W87" s="55"/>
      <c r="X87" s="55"/>
      <c r="Y87" s="55"/>
      <c r="Z87" s="55"/>
      <c r="AA87" s="55"/>
      <c r="AD87" s="55"/>
      <c r="AE87" s="55"/>
      <c r="AF87" s="55"/>
      <c r="AG87" s="55"/>
      <c r="AH87" s="55"/>
    </row>
    <row r="88" spans="1:34" x14ac:dyDescent="0.2">
      <c r="B88" s="55"/>
      <c r="C88" s="55"/>
      <c r="D88" s="55"/>
      <c r="E88" s="55"/>
      <c r="F88" s="55"/>
      <c r="G88" s="55"/>
      <c r="H88" s="55"/>
      <c r="I88" s="55"/>
      <c r="Q88"/>
      <c r="R88"/>
      <c r="S88"/>
      <c r="T88"/>
      <c r="U88"/>
      <c r="V88"/>
      <c r="W88" s="55"/>
      <c r="X88" s="55"/>
      <c r="Y88" s="55"/>
      <c r="Z88" s="55"/>
      <c r="AA88" s="55"/>
      <c r="AD88" s="55"/>
      <c r="AE88" s="55"/>
      <c r="AF88" s="55"/>
      <c r="AG88" s="55"/>
      <c r="AH88" s="55"/>
    </row>
    <row r="89" spans="1:34" x14ac:dyDescent="0.2">
      <c r="A89" s="120" t="s">
        <v>139</v>
      </c>
      <c r="B89" s="84"/>
      <c r="C89" s="84"/>
      <c r="D89" s="84"/>
      <c r="E89" s="119" t="s">
        <v>34</v>
      </c>
      <c r="F89" s="55"/>
      <c r="G89" s="55"/>
      <c r="H89" s="55"/>
      <c r="I89" s="55"/>
      <c r="Q89"/>
      <c r="R89"/>
      <c r="S89"/>
      <c r="T89"/>
      <c r="U89"/>
      <c r="V89"/>
      <c r="W89" s="55"/>
      <c r="X89" s="55"/>
      <c r="Y89" s="55"/>
      <c r="Z89" s="55"/>
      <c r="AA89" s="55"/>
      <c r="AD89" s="55"/>
      <c r="AE89" s="55"/>
      <c r="AF89" s="55"/>
      <c r="AG89" s="55"/>
      <c r="AH89" s="55"/>
    </row>
    <row r="90" spans="1:34" x14ac:dyDescent="0.2">
      <c r="A90" s="82"/>
      <c r="B90" s="94">
        <v>850</v>
      </c>
      <c r="C90" s="94">
        <v>2200</v>
      </c>
      <c r="D90" s="94">
        <v>2184</v>
      </c>
      <c r="E90" s="77">
        <f>($I$45*B90)+($J$45*C90)+($K$45*D90)</f>
        <v>2196.8000000000002</v>
      </c>
      <c r="F90" s="55"/>
      <c r="G90" s="55"/>
      <c r="H90" s="55"/>
      <c r="I90" s="55"/>
      <c r="Q90"/>
      <c r="R90"/>
      <c r="S90"/>
      <c r="T90"/>
      <c r="U90"/>
      <c r="V90"/>
      <c r="W90" s="55"/>
      <c r="X90" s="55"/>
      <c r="Y90" s="55"/>
      <c r="Z90" s="55"/>
      <c r="AA90" s="55"/>
      <c r="AD90" s="55"/>
      <c r="AE90" s="55"/>
      <c r="AF90" s="55"/>
      <c r="AG90" s="55"/>
      <c r="AH90" s="55"/>
    </row>
    <row r="91" spans="1:34" x14ac:dyDescent="0.2">
      <c r="A91" s="74" t="s">
        <v>26</v>
      </c>
      <c r="B91" s="77">
        <f t="shared" ref="B91:B97" si="38">VLOOKUP(A91,$A$5:$H$33,6,FALSE)</f>
        <v>76.14</v>
      </c>
      <c r="C91" s="77">
        <f t="shared" ref="C91:C97" si="39">VLOOKUP(A91,$A$5:$H$33,7,FALSE)</f>
        <v>199.46799999999999</v>
      </c>
      <c r="D91" s="77">
        <f t="shared" ref="D91:D97" si="40">VLOOKUP(A91,$A$5:$H$33,8,FALSE)</f>
        <v>142.97399999999999</v>
      </c>
      <c r="E91" s="94"/>
      <c r="F91" s="55"/>
      <c r="G91" s="55"/>
      <c r="H91" s="55"/>
      <c r="I91" s="55"/>
      <c r="Q91"/>
      <c r="R91"/>
      <c r="S91"/>
      <c r="T91"/>
      <c r="U91"/>
      <c r="V91"/>
      <c r="W91" s="59"/>
      <c r="X91" s="59"/>
      <c r="Y91" s="58"/>
      <c r="Z91" s="59"/>
      <c r="AA91" s="59"/>
      <c r="AD91" s="55"/>
      <c r="AE91" s="55"/>
      <c r="AF91" s="55"/>
      <c r="AG91" s="55"/>
      <c r="AH91" s="55"/>
    </row>
    <row r="92" spans="1:34" x14ac:dyDescent="0.2">
      <c r="A92" s="74" t="s">
        <v>95</v>
      </c>
      <c r="B92" s="77">
        <f t="shared" si="38"/>
        <v>36.549999999999997</v>
      </c>
      <c r="C92" s="77">
        <f t="shared" si="39"/>
        <v>21.757999999999999</v>
      </c>
      <c r="D92" s="77">
        <f t="shared" si="40"/>
        <v>31.303999999999998</v>
      </c>
      <c r="E92" s="94"/>
      <c r="F92" s="55"/>
      <c r="G92" s="55"/>
      <c r="H92" s="55"/>
      <c r="I92" s="55"/>
      <c r="Q92"/>
      <c r="R92"/>
      <c r="S92"/>
      <c r="T92"/>
      <c r="U92"/>
      <c r="V92"/>
      <c r="W92" s="59"/>
      <c r="X92" s="59"/>
      <c r="Y92" s="58"/>
      <c r="Z92" s="59"/>
      <c r="AA92" s="59"/>
      <c r="AD92" s="56"/>
      <c r="AE92" s="59"/>
      <c r="AF92" s="79"/>
      <c r="AG92" s="59"/>
      <c r="AH92" s="59"/>
    </row>
    <row r="93" spans="1:34" x14ac:dyDescent="0.2">
      <c r="A93" s="74" t="s">
        <v>36</v>
      </c>
      <c r="B93" s="77">
        <f t="shared" si="38"/>
        <v>34.85</v>
      </c>
      <c r="C93" s="77">
        <f t="shared" si="39"/>
        <v>42.64</v>
      </c>
      <c r="D93" s="77">
        <f t="shared" si="40"/>
        <v>29.848000000000003</v>
      </c>
      <c r="E93" s="77">
        <f>($I$45*B93)+($J$45*C93)+($K$45*D93)</f>
        <v>40.081600000000002</v>
      </c>
      <c r="F93" s="106">
        <f>E93/E90</f>
        <v>1.824544792425346E-2</v>
      </c>
      <c r="G93" s="55"/>
      <c r="H93" s="55"/>
      <c r="I93" s="55"/>
      <c r="Q93" s="59"/>
      <c r="R93" s="59"/>
      <c r="S93" s="59"/>
      <c r="T93" s="59"/>
      <c r="U93" s="124"/>
      <c r="V93" s="57"/>
      <c r="W93" s="59"/>
      <c r="X93" s="59"/>
      <c r="Y93" s="58"/>
      <c r="Z93" s="59"/>
      <c r="AA93" s="59"/>
      <c r="AD93" s="56"/>
      <c r="AE93" s="59"/>
      <c r="AF93" s="79"/>
      <c r="AG93" s="59"/>
      <c r="AH93" s="59"/>
    </row>
    <row r="94" spans="1:34" x14ac:dyDescent="0.2">
      <c r="A94" s="74" t="s">
        <v>62</v>
      </c>
      <c r="B94" s="77">
        <f t="shared" si="38"/>
        <v>58.079847908745251</v>
      </c>
      <c r="C94" s="77">
        <f t="shared" si="39"/>
        <v>226.1406844106464</v>
      </c>
      <c r="D94" s="77">
        <f t="shared" si="40"/>
        <v>194.62927756653994</v>
      </c>
      <c r="E94" s="77">
        <f>($I$45*B94)+($J$45*C94)+($K$45*D94)</f>
        <v>219.83840304182513</v>
      </c>
      <c r="F94" s="55"/>
      <c r="G94" s="55"/>
      <c r="H94" s="55"/>
      <c r="I94" s="55"/>
      <c r="Q94" s="59"/>
      <c r="R94" s="59"/>
      <c r="S94" s="59"/>
      <c r="T94" s="59"/>
      <c r="U94" s="124"/>
      <c r="V94" s="57"/>
      <c r="W94" s="59"/>
      <c r="X94" s="59"/>
      <c r="Y94" s="58"/>
      <c r="Z94" s="59"/>
      <c r="AA94" s="59"/>
      <c r="AD94" s="56"/>
      <c r="AE94" s="59"/>
      <c r="AF94" s="79"/>
      <c r="AG94" s="59"/>
      <c r="AH94" s="59"/>
    </row>
    <row r="95" spans="1:34" x14ac:dyDescent="0.2">
      <c r="A95" s="80" t="s">
        <v>30</v>
      </c>
      <c r="B95" s="77">
        <f t="shared" si="38"/>
        <v>18.799999999999997</v>
      </c>
      <c r="C95" s="77">
        <f t="shared" si="39"/>
        <v>25.849999999999998</v>
      </c>
      <c r="D95" s="77">
        <f t="shared" si="40"/>
        <v>18.799999999999997</v>
      </c>
      <c r="E95" s="94"/>
      <c r="F95" s="55"/>
      <c r="G95" s="55"/>
      <c r="H95" s="55"/>
      <c r="I95" s="55"/>
      <c r="Q95" s="59"/>
      <c r="R95" s="59"/>
      <c r="S95" s="59"/>
      <c r="T95" s="59"/>
      <c r="U95" s="124"/>
      <c r="V95" s="57"/>
      <c r="W95" s="59"/>
      <c r="X95" s="59"/>
      <c r="Y95" s="58"/>
      <c r="Z95" s="59"/>
      <c r="AA95" s="59"/>
      <c r="AD95" s="56"/>
      <c r="AE95" s="59"/>
      <c r="AF95" s="79"/>
      <c r="AG95" s="59"/>
      <c r="AH95" s="59"/>
    </row>
    <row r="96" spans="1:34" ht="15" customHeight="1" x14ac:dyDescent="0.2">
      <c r="A96" s="82" t="s">
        <v>136</v>
      </c>
      <c r="B96" s="77">
        <f t="shared" si="38"/>
        <v>42.839999999999996</v>
      </c>
      <c r="C96" s="77">
        <f t="shared" si="39"/>
        <v>127.88999999999999</v>
      </c>
      <c r="D96" s="77">
        <f t="shared" si="40"/>
        <v>110.07359999999998</v>
      </c>
      <c r="E96" s="94"/>
      <c r="F96" s="55"/>
      <c r="G96" s="55"/>
      <c r="H96" s="55"/>
      <c r="I96" s="55"/>
      <c r="M96" s="55"/>
      <c r="Y96" s="57"/>
      <c r="AD96" s="56"/>
      <c r="AE96" s="59"/>
      <c r="AF96" s="79"/>
      <c r="AG96" s="59"/>
      <c r="AH96" s="59"/>
    </row>
    <row r="97" spans="1:34" x14ac:dyDescent="0.2">
      <c r="A97" s="74" t="s">
        <v>151</v>
      </c>
      <c r="B97" s="77">
        <f t="shared" si="38"/>
        <v>0</v>
      </c>
      <c r="C97" s="77">
        <f t="shared" si="39"/>
        <v>0</v>
      </c>
      <c r="D97" s="77">
        <f t="shared" si="40"/>
        <v>112.89600000000002</v>
      </c>
      <c r="E97" s="94"/>
      <c r="F97" s="55"/>
      <c r="G97" s="55"/>
      <c r="H97" s="55"/>
      <c r="I97" s="55"/>
      <c r="M97" s="55"/>
      <c r="P97" s="59"/>
      <c r="AD97" s="56"/>
      <c r="AE97" s="59"/>
      <c r="AF97" s="79"/>
      <c r="AG97" s="59"/>
      <c r="AH97" s="59"/>
    </row>
    <row r="98" spans="1:34" x14ac:dyDescent="0.2">
      <c r="A98" s="94" t="s">
        <v>33</v>
      </c>
      <c r="B98" s="77">
        <f>SUM(B91:B97)</f>
        <v>267.2598479087452</v>
      </c>
      <c r="C98" s="77">
        <f>SUM(C91:C97)</f>
        <v>643.74668441064637</v>
      </c>
      <c r="D98" s="77">
        <f>SUM(D91:D97)</f>
        <v>640.52487756654</v>
      </c>
      <c r="E98" s="77">
        <f>($I$45*B98)+($J$45*C98)+($K$45*D98)</f>
        <v>643.10232304182512</v>
      </c>
      <c r="F98" s="55"/>
      <c r="G98" s="55"/>
      <c r="H98" s="55"/>
      <c r="I98" s="55"/>
      <c r="M98" s="55"/>
      <c r="P98" s="59"/>
    </row>
    <row r="99" spans="1:34" x14ac:dyDescent="0.2">
      <c r="A99" s="122" t="s">
        <v>132</v>
      </c>
      <c r="B99" s="123">
        <f ca="1">IF(ISNA(INDEX($AW$4:$AX$74,MATCH(B98,$AW$4:$AW$74,0),1)),TREND(OFFSET(INDEX($AW$4:$AX$74,MATCH(B98,$AW$4:$AW$74,-1),2),0,0,2,1),OFFSET(INDEX($AW$4:$AX$74,MATCH(B98,$AW$4:$AW$74,-1),1),0,0,2,1),B98),INDEX($AW$4:$AX$74,MATCH(B98,$AW$4:$AW$74,0),2))</f>
        <v>5077.698703075579</v>
      </c>
      <c r="C99" s="123">
        <f ca="1">IF(ISNA(INDEX($BF$4:$BG$73,MATCH(C98,$BF$4:$BF$73,0),1)),TREND(OFFSET(INDEX($BF$4:$BG$73,MATCH(C98,$BF$4:$BF$73,-1),2),0,0,2,1),OFFSET(INDEX($BF$4:$BG$73,MATCH(C98,$BF$4:$BF$73,-1),1),0,0,2,1),C98),INDEX($BF$4:$BG$73,MATCH(C98,$BF$4:$BF$73,0),2))</f>
        <v>14662.696893013923</v>
      </c>
      <c r="D99" s="123">
        <f ca="1">IF(ISNA(INDEX($BO$4:$BP$74,MATCH(D98,$BO$4:$BO$74,0),1)),TREND(OFFSET(INDEX($BO$4:$BP$74,MATCH(D98,$BO$4:$BO$74,-1),2),0,0,2,1),OFFSET(INDEX($BO$4:$BP$74,MATCH(D98,$BO$4:$BO$74,-1),1),0,0,2,1),D98),INDEX($BO$4:$BP$74,MATCH(D98,$BO$4:$BO$74,0),2))</f>
        <v>14724.365154626246</v>
      </c>
      <c r="E99" s="123">
        <f ca="1">($I$45*B99)+($J$45*C99)+($K$45*D99)</f>
        <v>14675.030545336389</v>
      </c>
      <c r="F99" s="55"/>
      <c r="G99" s="55"/>
      <c r="H99" s="55"/>
      <c r="I99" s="55"/>
      <c r="M99" s="55"/>
      <c r="P99" s="59"/>
    </row>
    <row r="100" spans="1:34" x14ac:dyDescent="0.2">
      <c r="A100" s="82" t="s">
        <v>133</v>
      </c>
      <c r="B100" s="89">
        <f ca="1">B99/$I$44</f>
        <v>5.9737631800889162</v>
      </c>
      <c r="C100" s="89">
        <f ca="1">C99/$J$44</f>
        <v>6.6648622240972379</v>
      </c>
      <c r="D100" s="89">
        <f ca="1">D99/$K$44</f>
        <v>6.7419254370999298</v>
      </c>
      <c r="E100" s="89">
        <f ca="1">E99/$L$44</f>
        <v>6.6801850625165642</v>
      </c>
      <c r="F100" s="55"/>
      <c r="G100" s="55"/>
      <c r="H100" s="55"/>
      <c r="I100" s="55"/>
      <c r="M100" s="55"/>
      <c r="P100" s="59"/>
    </row>
    <row r="101" spans="1:34" x14ac:dyDescent="0.2">
      <c r="A101" s="54" t="s">
        <v>134</v>
      </c>
      <c r="B101" s="130">
        <f>B98/B90</f>
        <v>0.31442335048087672</v>
      </c>
      <c r="C101" s="130">
        <f>C98/C90</f>
        <v>0.29261212927756652</v>
      </c>
      <c r="D101" s="130">
        <f>D98/D90</f>
        <v>0.29328062159640111</v>
      </c>
      <c r="E101" s="130">
        <f>E98/E90</f>
        <v>0.29274504872624957</v>
      </c>
      <c r="F101" s="55"/>
      <c r="G101" s="55"/>
      <c r="H101" s="55"/>
      <c r="I101" s="55"/>
      <c r="M101" s="55"/>
      <c r="P101" s="59"/>
    </row>
    <row r="102" spans="1:34" x14ac:dyDescent="0.2">
      <c r="A102" s="54" t="s">
        <v>135</v>
      </c>
      <c r="B102" s="57">
        <f>(B98-B94)/B90</f>
        <v>0.24609411764705877</v>
      </c>
      <c r="C102" s="57">
        <f>(C98-C94)/C90</f>
        <v>0.1898209090909091</v>
      </c>
      <c r="D102" s="57">
        <f>(D98-D94)/D90</f>
        <v>0.20416465201465203</v>
      </c>
      <c r="E102" s="132">
        <f>(E98-E94)/E90</f>
        <v>0.19267294246176253</v>
      </c>
      <c r="F102" s="55"/>
      <c r="G102" s="55"/>
      <c r="H102" s="55"/>
      <c r="I102" s="55"/>
      <c r="M102" s="55"/>
      <c r="P102" s="59"/>
    </row>
    <row r="103" spans="1:34" x14ac:dyDescent="0.2">
      <c r="B103" s="55"/>
      <c r="C103" s="55"/>
      <c r="D103" s="55"/>
      <c r="E103" s="55"/>
      <c r="F103" s="55"/>
      <c r="G103" s="55"/>
      <c r="H103" s="55"/>
      <c r="I103" s="55"/>
      <c r="M103" s="55"/>
      <c r="P103" s="59"/>
    </row>
    <row r="104" spans="1:34" x14ac:dyDescent="0.2">
      <c r="A104" s="120" t="s">
        <v>140</v>
      </c>
      <c r="B104" s="84"/>
      <c r="C104" s="84"/>
      <c r="D104" s="84"/>
      <c r="E104" s="119" t="s">
        <v>34</v>
      </c>
      <c r="F104" s="55"/>
      <c r="G104" s="55"/>
      <c r="H104" s="55"/>
      <c r="I104" s="55"/>
      <c r="M104" s="55"/>
      <c r="P104" s="59"/>
    </row>
    <row r="105" spans="1:34" x14ac:dyDescent="0.2">
      <c r="A105" s="82"/>
      <c r="B105" s="94">
        <v>850</v>
      </c>
      <c r="C105" s="94">
        <v>2200</v>
      </c>
      <c r="D105" s="94">
        <v>2184</v>
      </c>
      <c r="E105" s="77">
        <f>($I$45*B105)+($J$45*C105)+($K$45*D105)</f>
        <v>2196.8000000000002</v>
      </c>
      <c r="F105" s="55"/>
      <c r="G105" s="55"/>
      <c r="H105" s="55"/>
      <c r="I105" s="55"/>
      <c r="M105" s="55"/>
      <c r="O105"/>
      <c r="P105"/>
    </row>
    <row r="106" spans="1:34" x14ac:dyDescent="0.2">
      <c r="A106" s="74" t="s">
        <v>147</v>
      </c>
      <c r="B106" s="77">
        <f t="shared" ref="B106:B112" si="41">VLOOKUP(A106,$A$5:$H$33,6,FALSE)</f>
        <v>50.22</v>
      </c>
      <c r="C106" s="77">
        <f t="shared" ref="C106:C112" si="42">VLOOKUP(A106,$A$5:$H$33,7,FALSE)</f>
        <v>131.56399999999999</v>
      </c>
      <c r="D106" s="77">
        <f t="shared" ref="D106:D112" si="43">VLOOKUP(A106,$A$5:$H$33,8,FALSE)</f>
        <v>94.301999999999992</v>
      </c>
      <c r="E106" s="94"/>
      <c r="F106" s="55"/>
      <c r="G106" s="55"/>
      <c r="H106" s="55"/>
      <c r="I106" s="55"/>
      <c r="M106" s="55"/>
      <c r="O106"/>
      <c r="P106"/>
      <c r="AD106" s="55"/>
      <c r="AE106" s="55"/>
    </row>
    <row r="107" spans="1:34" x14ac:dyDescent="0.2">
      <c r="A107" s="74" t="s">
        <v>38</v>
      </c>
      <c r="B107" s="77">
        <f t="shared" si="41"/>
        <v>33.15</v>
      </c>
      <c r="C107" s="77">
        <f t="shared" si="42"/>
        <v>19.733999999999998</v>
      </c>
      <c r="D107" s="77">
        <f t="shared" si="43"/>
        <v>28.391999999999999</v>
      </c>
      <c r="E107" s="94"/>
      <c r="F107" s="55"/>
      <c r="G107" s="55"/>
      <c r="H107" s="55"/>
      <c r="I107" s="55"/>
      <c r="M107" s="55"/>
      <c r="O107"/>
      <c r="P107"/>
      <c r="V107" s="55"/>
      <c r="W107" s="55"/>
      <c r="X107" s="55"/>
      <c r="AD107" s="55"/>
      <c r="AE107" s="55"/>
    </row>
    <row r="108" spans="1:34" x14ac:dyDescent="0.2">
      <c r="A108" s="74" t="s">
        <v>36</v>
      </c>
      <c r="B108" s="77">
        <f t="shared" si="41"/>
        <v>34.85</v>
      </c>
      <c r="C108" s="77">
        <f t="shared" si="42"/>
        <v>42.64</v>
      </c>
      <c r="D108" s="77">
        <f t="shared" si="43"/>
        <v>29.848000000000003</v>
      </c>
      <c r="E108" s="77">
        <f>($I$45*B108)+($J$45*C108)+($K$45*D108)</f>
        <v>40.081600000000002</v>
      </c>
      <c r="F108" s="106">
        <f>E108/E105</f>
        <v>1.824544792425346E-2</v>
      </c>
      <c r="G108" s="55"/>
      <c r="H108" s="55"/>
      <c r="I108" s="55"/>
      <c r="M108" s="55"/>
      <c r="N108"/>
      <c r="O108"/>
      <c r="P108"/>
      <c r="V108" s="55"/>
      <c r="W108" s="55"/>
      <c r="X108" s="55"/>
      <c r="AD108" s="55"/>
      <c r="AE108" s="55"/>
    </row>
    <row r="109" spans="1:34" x14ac:dyDescent="0.2">
      <c r="A109" s="74" t="s">
        <v>57</v>
      </c>
      <c r="B109" s="77">
        <f t="shared" si="41"/>
        <v>49.521072796934867</v>
      </c>
      <c r="C109" s="77">
        <f t="shared" si="42"/>
        <v>192.81609195402299</v>
      </c>
      <c r="D109" s="77">
        <f t="shared" si="43"/>
        <v>165.94827586206895</v>
      </c>
      <c r="E109" s="77">
        <f>($I$45*B109)+($J$45*C109)+($K$45*D109)</f>
        <v>187.44252873563221</v>
      </c>
      <c r="F109" s="55"/>
      <c r="G109" s="55"/>
      <c r="H109" s="55"/>
      <c r="I109" s="55"/>
      <c r="M109" s="55"/>
      <c r="N109"/>
      <c r="O109"/>
      <c r="P109"/>
      <c r="V109" s="55"/>
      <c r="W109" s="55"/>
      <c r="X109" s="55"/>
      <c r="AD109" s="55"/>
      <c r="AE109" s="55"/>
    </row>
    <row r="110" spans="1:34" x14ac:dyDescent="0.2">
      <c r="A110" s="80" t="s">
        <v>30</v>
      </c>
      <c r="B110" s="77">
        <f t="shared" si="41"/>
        <v>18.799999999999997</v>
      </c>
      <c r="C110" s="77">
        <f t="shared" si="42"/>
        <v>25.849999999999998</v>
      </c>
      <c r="D110" s="77">
        <f t="shared" si="43"/>
        <v>18.799999999999997</v>
      </c>
      <c r="E110" s="94"/>
      <c r="F110" s="55"/>
      <c r="G110" s="55"/>
      <c r="H110" s="55"/>
      <c r="I110" s="55"/>
      <c r="M110"/>
      <c r="N110"/>
      <c r="O110"/>
      <c r="P110"/>
      <c r="U110" s="55"/>
      <c r="V110" s="55"/>
      <c r="W110" s="55"/>
      <c r="AC110" s="55"/>
      <c r="AD110" s="55"/>
    </row>
    <row r="111" spans="1:34" x14ac:dyDescent="0.2">
      <c r="A111" s="82" t="s">
        <v>136</v>
      </c>
      <c r="B111" s="77">
        <f t="shared" si="41"/>
        <v>42.839999999999996</v>
      </c>
      <c r="C111" s="77">
        <f t="shared" si="42"/>
        <v>127.88999999999999</v>
      </c>
      <c r="D111" s="77">
        <f t="shared" si="43"/>
        <v>110.07359999999998</v>
      </c>
      <c r="E111" s="94"/>
      <c r="F111" s="55"/>
      <c r="G111" s="55"/>
      <c r="H111" s="55"/>
      <c r="I111" s="55"/>
      <c r="M111"/>
      <c r="N111"/>
      <c r="O111"/>
      <c r="P111"/>
      <c r="U111" s="55"/>
      <c r="V111" s="55"/>
      <c r="W111" s="55"/>
      <c r="AC111" s="55"/>
      <c r="AD111" s="55"/>
    </row>
    <row r="112" spans="1:34" x14ac:dyDescent="0.2">
      <c r="A112" s="74" t="s">
        <v>151</v>
      </c>
      <c r="B112" s="77">
        <f t="shared" si="41"/>
        <v>0</v>
      </c>
      <c r="C112" s="77">
        <f t="shared" si="42"/>
        <v>0</v>
      </c>
      <c r="D112" s="77">
        <f t="shared" si="43"/>
        <v>112.89600000000002</v>
      </c>
      <c r="E112" s="94"/>
      <c r="F112" s="55"/>
      <c r="G112" s="55"/>
      <c r="H112" s="55"/>
      <c r="I112" s="55"/>
      <c r="M112"/>
      <c r="N112"/>
      <c r="O112"/>
      <c r="P112"/>
      <c r="U112" s="55"/>
      <c r="V112" s="55"/>
      <c r="W112" s="55"/>
      <c r="AC112" s="55"/>
      <c r="AD112" s="55"/>
    </row>
    <row r="113" spans="1:30" x14ac:dyDescent="0.2">
      <c r="A113" s="94" t="s">
        <v>33</v>
      </c>
      <c r="B113" s="77">
        <f>SUM(B106:B112)</f>
        <v>229.38107279693489</v>
      </c>
      <c r="C113" s="77">
        <f>SUM(C106:C112)</f>
        <v>540.49409195402302</v>
      </c>
      <c r="D113" s="77">
        <f>SUM(D106:D112)</f>
        <v>560.25987586206907</v>
      </c>
      <c r="E113" s="77">
        <f>($I$45*B113)+($J$45*C113)+($K$45*D113)</f>
        <v>544.44724873563223</v>
      </c>
      <c r="F113" s="55"/>
      <c r="G113" s="55"/>
      <c r="H113" s="55"/>
      <c r="I113" s="55"/>
      <c r="M113"/>
      <c r="N113"/>
      <c r="O113"/>
      <c r="P113"/>
      <c r="U113" s="55"/>
      <c r="V113" s="55"/>
      <c r="W113" s="55"/>
      <c r="AC113" s="55"/>
      <c r="AD113" s="55"/>
    </row>
    <row r="114" spans="1:30" x14ac:dyDescent="0.2">
      <c r="A114" s="122" t="s">
        <v>132</v>
      </c>
      <c r="B114" s="123">
        <f ca="1">IF(ISNA(INDEX($AW$4:$AX$74,MATCH(B113,$AW$4:$AW$74,0),1)),TREND(OFFSET(INDEX($AW$4:$AX$74,MATCH(B113,$AW$4:$AW$74,-1),2),0,0,2,1),OFFSET(INDEX($AW$4:$AX$74,MATCH(B113,$AW$4:$AW$74,-1),1),0,0,2,1),B113),INDEX($AW$4:$AX$74,MATCH(B113,$AW$4:$AW$74,0),2))</f>
        <v>3788.1337347359795</v>
      </c>
      <c r="C114" s="123">
        <f ca="1">IF(ISNA(INDEX($BF$4:$BG$73,MATCH(C113,$BF$4:$BF$73,0),1)),TREND(OFFSET(INDEX($BF$4:$BG$73,MATCH(C113,$BF$4:$BF$73,-1),2),0,0,2,1),OFFSET(INDEX($BF$4:$BG$73,MATCH(C113,$BF$4:$BF$73,-1),1),0,0,2,1),C113),INDEX($BF$4:$BG$73,MATCH(C113,$BF$4:$BF$73,0),2))</f>
        <v>11050.696669403553</v>
      </c>
      <c r="D114" s="123">
        <f ca="1">IF(ISNA(INDEX($BO$4:$BP$74,MATCH(D113,$BO$4:$BO$74,0),1)),TREND(OFFSET(INDEX($BO$4:$BP$74,MATCH(D113,$BO$4:$BO$74,-1),2),0,0,2,1),OFFSET(INDEX($BO$4:$BP$74,MATCH(D113,$BO$4:$BO$74,-1),1),0,0,2,1),D113),INDEX($BO$4:$BP$74,MATCH(D113,$BO$4:$BO$74,0),2))</f>
        <v>11870.101953485493</v>
      </c>
      <c r="E114" s="123">
        <f ca="1">($I$45*B114)+($J$45*C114)+($K$45*D114)</f>
        <v>11214.577726219941</v>
      </c>
      <c r="F114" s="55"/>
      <c r="G114" s="55"/>
      <c r="H114" s="55"/>
      <c r="I114" s="55"/>
      <c r="M114"/>
      <c r="N114"/>
      <c r="O114"/>
      <c r="P114"/>
      <c r="U114" s="55"/>
      <c r="V114" s="55"/>
      <c r="W114" s="55"/>
      <c r="AC114" s="55"/>
      <c r="AD114" s="55"/>
    </row>
    <row r="115" spans="1:30" x14ac:dyDescent="0.2">
      <c r="A115" s="82" t="s">
        <v>133</v>
      </c>
      <c r="B115" s="89">
        <f ca="1">B114/$I$44</f>
        <v>4.4566279232187993</v>
      </c>
      <c r="C115" s="89">
        <f ca="1">C114/$J$44</f>
        <v>5.0230439406379785</v>
      </c>
      <c r="D115" s="89">
        <f ca="1">D114/$K$44</f>
        <v>5.4350283669805375</v>
      </c>
      <c r="E115" s="89">
        <f ca="1">E114/$L$44</f>
        <v>5.1049607275218225</v>
      </c>
      <c r="F115" s="55"/>
      <c r="G115" s="55"/>
      <c r="H115" s="55"/>
      <c r="I115" s="55"/>
      <c r="M115"/>
      <c r="N115"/>
      <c r="O115"/>
      <c r="P115"/>
      <c r="U115" s="55"/>
      <c r="V115" s="55"/>
      <c r="W115" s="55"/>
      <c r="AC115" s="55"/>
      <c r="AD115" s="55"/>
    </row>
    <row r="116" spans="1:30" x14ac:dyDescent="0.2">
      <c r="A116" s="54" t="s">
        <v>134</v>
      </c>
      <c r="B116" s="130">
        <f>B113/B105</f>
        <v>0.26986008564345282</v>
      </c>
      <c r="C116" s="130">
        <f>C113/C105</f>
        <v>0.24567913270637409</v>
      </c>
      <c r="D116" s="130">
        <f>D113/D105</f>
        <v>0.25652924718959208</v>
      </c>
      <c r="E116" s="130">
        <f>E113/E105</f>
        <v>0.24783651162401318</v>
      </c>
      <c r="F116" s="55"/>
      <c r="G116" s="55"/>
      <c r="H116" s="55"/>
      <c r="I116" s="55"/>
      <c r="M116"/>
      <c r="N116"/>
      <c r="O116"/>
      <c r="P116"/>
      <c r="U116" s="55"/>
      <c r="V116" s="55"/>
      <c r="W116" s="55"/>
      <c r="AC116" s="55"/>
      <c r="AD116" s="55"/>
    </row>
    <row r="117" spans="1:30" x14ac:dyDescent="0.2">
      <c r="A117" s="54" t="s">
        <v>135</v>
      </c>
      <c r="B117" s="57">
        <f>(B113-B109)/B105</f>
        <v>0.21160000000000001</v>
      </c>
      <c r="C117" s="57">
        <f>(C113-C109)/C105</f>
        <v>0.15803545454545453</v>
      </c>
      <c r="D117" s="57">
        <f>(D113-D109)/D105</f>
        <v>0.18054560439560444</v>
      </c>
      <c r="E117" s="132">
        <f>(E113-E109)/E105</f>
        <v>0.16251125273124545</v>
      </c>
      <c r="F117" s="55"/>
      <c r="G117" s="55"/>
      <c r="H117" s="55"/>
      <c r="I117" s="55"/>
      <c r="M117"/>
      <c r="N117"/>
      <c r="O117"/>
      <c r="P117"/>
      <c r="U117" s="55"/>
      <c r="V117" s="55"/>
      <c r="W117" s="55"/>
      <c r="AC117" s="55"/>
      <c r="AD117" s="55"/>
    </row>
    <row r="118" spans="1:30" x14ac:dyDescent="0.2">
      <c r="B118" s="55"/>
      <c r="C118" s="55"/>
      <c r="D118" s="55"/>
      <c r="E118" s="55"/>
      <c r="F118" s="55"/>
      <c r="G118" s="55"/>
      <c r="H118" s="55"/>
      <c r="I118" s="55"/>
      <c r="M118"/>
      <c r="N118"/>
      <c r="O118"/>
      <c r="P118"/>
      <c r="U118" s="55"/>
      <c r="V118" s="55"/>
      <c r="W118" s="55"/>
      <c r="AC118" s="55"/>
      <c r="AD118" s="55"/>
    </row>
    <row r="119" spans="1:30" x14ac:dyDescent="0.2">
      <c r="A119" s="120" t="s">
        <v>141</v>
      </c>
      <c r="B119" s="84"/>
      <c r="C119" s="84"/>
      <c r="D119" s="84"/>
      <c r="E119" s="119" t="s">
        <v>34</v>
      </c>
      <c r="F119" s="55"/>
      <c r="G119" s="55"/>
      <c r="H119" s="55"/>
      <c r="I119" s="55"/>
      <c r="M119"/>
      <c r="N119"/>
      <c r="O119"/>
      <c r="P119"/>
      <c r="U119" s="55"/>
      <c r="V119" s="55"/>
      <c r="W119" s="55"/>
      <c r="AC119" s="55"/>
      <c r="AD119" s="55"/>
    </row>
    <row r="120" spans="1:30" x14ac:dyDescent="0.2">
      <c r="A120" s="82"/>
      <c r="B120" s="94">
        <v>850</v>
      </c>
      <c r="C120" s="94">
        <v>2200</v>
      </c>
      <c r="D120" s="94">
        <v>2184</v>
      </c>
      <c r="E120" s="77">
        <f>($I$45*B120)+($J$45*C120)+($K$45*D120)</f>
        <v>2196.8000000000002</v>
      </c>
      <c r="F120" s="55"/>
      <c r="G120" s="55"/>
      <c r="H120" s="55"/>
      <c r="I120" s="55"/>
      <c r="M120"/>
      <c r="N120"/>
      <c r="O120"/>
      <c r="P120"/>
      <c r="U120" s="55"/>
      <c r="V120" s="55"/>
      <c r="W120" s="55"/>
      <c r="AC120" s="55"/>
      <c r="AD120" s="55"/>
    </row>
    <row r="121" spans="1:30" x14ac:dyDescent="0.2">
      <c r="A121" s="74" t="s">
        <v>147</v>
      </c>
      <c r="B121" s="77">
        <f t="shared" ref="B121:B127" si="44">VLOOKUP(A121,$A$5:$H$33,6,FALSE)</f>
        <v>50.22</v>
      </c>
      <c r="C121" s="77">
        <f t="shared" ref="C121:C127" si="45">VLOOKUP(A121,$A$5:$H$33,7,FALSE)</f>
        <v>131.56399999999999</v>
      </c>
      <c r="D121" s="77">
        <f t="shared" ref="D121:D127" si="46">VLOOKUP(A121,$A$5:$H$33,8,FALSE)</f>
        <v>94.301999999999992</v>
      </c>
      <c r="E121" s="94"/>
      <c r="F121" s="55"/>
      <c r="G121" s="55"/>
      <c r="H121" s="55"/>
      <c r="I121" s="55"/>
      <c r="M121"/>
      <c r="N121"/>
      <c r="O121"/>
      <c r="P121"/>
      <c r="U121" s="55"/>
      <c r="V121" s="55"/>
      <c r="W121" s="55"/>
      <c r="AC121" s="55"/>
      <c r="AD121" s="55"/>
    </row>
    <row r="122" spans="1:30" x14ac:dyDescent="0.2">
      <c r="A122" s="74" t="s">
        <v>38</v>
      </c>
      <c r="B122" s="77">
        <f t="shared" si="44"/>
        <v>33.15</v>
      </c>
      <c r="C122" s="77">
        <f t="shared" si="45"/>
        <v>19.733999999999998</v>
      </c>
      <c r="D122" s="77">
        <f t="shared" si="46"/>
        <v>28.391999999999999</v>
      </c>
      <c r="E122" s="94"/>
      <c r="F122" s="55"/>
      <c r="G122" s="55"/>
      <c r="H122" s="55"/>
      <c r="I122" s="55"/>
      <c r="M122"/>
      <c r="N122"/>
      <c r="O122"/>
      <c r="P122"/>
      <c r="U122" s="55"/>
      <c r="V122" s="55"/>
      <c r="W122" s="55"/>
      <c r="AC122" s="55"/>
      <c r="AD122" s="55"/>
    </row>
    <row r="123" spans="1:30" x14ac:dyDescent="0.2">
      <c r="A123" s="74" t="s">
        <v>152</v>
      </c>
      <c r="B123" s="77">
        <f t="shared" si="44"/>
        <v>28.05</v>
      </c>
      <c r="C123" s="77">
        <f t="shared" si="45"/>
        <v>34.32</v>
      </c>
      <c r="D123" s="77">
        <f t="shared" si="46"/>
        <v>24.024000000000001</v>
      </c>
      <c r="E123" s="77">
        <f>($I$45*B123)+($J$45*C123)+($K$45*D123)</f>
        <v>32.260800000000003</v>
      </c>
      <c r="F123" s="106">
        <f>E123/E120</f>
        <v>1.4685360524399126E-2</v>
      </c>
      <c r="G123" s="55"/>
      <c r="H123" s="55"/>
      <c r="I123" s="55"/>
      <c r="M123"/>
      <c r="N123"/>
      <c r="O123"/>
      <c r="P123"/>
      <c r="U123" s="55"/>
      <c r="V123" s="55"/>
      <c r="W123" s="55"/>
      <c r="AC123" s="55"/>
      <c r="AD123" s="55"/>
    </row>
    <row r="124" spans="1:30" x14ac:dyDescent="0.2">
      <c r="A124" s="78" t="s">
        <v>148</v>
      </c>
      <c r="B124" s="77">
        <f t="shared" si="44"/>
        <v>36.434108527131777</v>
      </c>
      <c r="C124" s="77">
        <f t="shared" si="45"/>
        <v>141.86046511627904</v>
      </c>
      <c r="D124" s="77">
        <f t="shared" si="46"/>
        <v>122.09302325581395</v>
      </c>
      <c r="E124" s="77">
        <f>($I$45*B124)+($J$45*C124)+($K$45*D124)</f>
        <v>137.90697674418604</v>
      </c>
      <c r="F124" s="55"/>
      <c r="G124" s="55"/>
      <c r="H124" s="55"/>
      <c r="I124" s="55"/>
      <c r="M124"/>
      <c r="N124"/>
      <c r="O124"/>
      <c r="P124"/>
      <c r="U124" s="55"/>
      <c r="V124" s="55"/>
      <c r="W124" s="55"/>
      <c r="AC124" s="55"/>
      <c r="AD124" s="55"/>
    </row>
    <row r="125" spans="1:30" x14ac:dyDescent="0.2">
      <c r="A125" s="74" t="s">
        <v>30</v>
      </c>
      <c r="B125" s="77">
        <f t="shared" si="44"/>
        <v>18.799999999999997</v>
      </c>
      <c r="C125" s="77">
        <f t="shared" si="45"/>
        <v>25.849999999999998</v>
      </c>
      <c r="D125" s="77">
        <f t="shared" si="46"/>
        <v>18.799999999999997</v>
      </c>
      <c r="E125" s="94"/>
      <c r="F125" s="55"/>
      <c r="G125" s="55"/>
      <c r="H125" s="55"/>
      <c r="I125" s="55"/>
      <c r="M125"/>
      <c r="N125"/>
      <c r="O125"/>
      <c r="P125"/>
      <c r="U125" s="55"/>
      <c r="V125" s="55"/>
      <c r="W125" s="55"/>
      <c r="AC125" s="55"/>
      <c r="AD125" s="55"/>
    </row>
    <row r="126" spans="1:30" x14ac:dyDescent="0.2">
      <c r="A126" s="82" t="s">
        <v>136</v>
      </c>
      <c r="B126" s="77">
        <f t="shared" si="44"/>
        <v>42.839999999999996</v>
      </c>
      <c r="C126" s="77">
        <f t="shared" si="45"/>
        <v>127.88999999999999</v>
      </c>
      <c r="D126" s="77">
        <f t="shared" si="46"/>
        <v>110.07359999999998</v>
      </c>
      <c r="E126" s="94"/>
      <c r="F126" s="55"/>
      <c r="G126" s="55"/>
      <c r="H126" s="55"/>
      <c r="I126" s="55"/>
      <c r="M126"/>
      <c r="N126"/>
      <c r="O126"/>
      <c r="P126"/>
      <c r="U126" s="55"/>
      <c r="V126" s="55"/>
      <c r="W126" s="55"/>
      <c r="AC126" s="55"/>
      <c r="AD126" s="55"/>
    </row>
    <row r="127" spans="1:30" x14ac:dyDescent="0.2">
      <c r="A127" s="74" t="s">
        <v>149</v>
      </c>
      <c r="B127" s="77">
        <f t="shared" si="44"/>
        <v>0</v>
      </c>
      <c r="C127" s="77">
        <f t="shared" si="45"/>
        <v>0</v>
      </c>
      <c r="D127" s="77">
        <f t="shared" si="46"/>
        <v>31.968</v>
      </c>
      <c r="E127" s="94"/>
      <c r="F127" s="55"/>
      <c r="G127" s="55"/>
      <c r="H127" s="55"/>
      <c r="I127" s="55"/>
      <c r="M127"/>
      <c r="N127"/>
      <c r="O127"/>
      <c r="P127"/>
      <c r="U127" s="55"/>
      <c r="V127" s="55"/>
      <c r="W127" s="55"/>
      <c r="AC127" s="55"/>
      <c r="AD127" s="55"/>
    </row>
    <row r="128" spans="1:30" x14ac:dyDescent="0.2">
      <c r="A128" s="94" t="s">
        <v>33</v>
      </c>
      <c r="B128" s="77">
        <f>SUM(B121:B127)</f>
        <v>209.49410852713177</v>
      </c>
      <c r="C128" s="77">
        <f>SUM(C121:C127)</f>
        <v>481.21846511627905</v>
      </c>
      <c r="D128" s="77">
        <f>SUM(D121:D127)</f>
        <v>429.65262325581398</v>
      </c>
      <c r="E128" s="77">
        <f>($I$45*B128)+($J$45*C128)+($K$45*D128)</f>
        <v>470.90529674418605</v>
      </c>
      <c r="F128" s="55"/>
      <c r="G128" s="55"/>
      <c r="H128" s="55"/>
      <c r="I128" s="55"/>
      <c r="M128"/>
      <c r="N128"/>
      <c r="O128"/>
      <c r="P128"/>
      <c r="U128" s="55"/>
      <c r="V128" s="55"/>
      <c r="W128" s="55"/>
      <c r="AC128" s="55"/>
      <c r="AD128" s="55"/>
    </row>
    <row r="129" spans="1:31" x14ac:dyDescent="0.2">
      <c r="A129" s="122" t="s">
        <v>132</v>
      </c>
      <c r="B129" s="123">
        <f ca="1">IF(ISNA(INDEX($AW$4:$AX$74,MATCH(B128,$AW$4:$AW$74,0),1)),TREND(OFFSET(INDEX($AW$4:$AX$74,MATCH(B128,$AW$4:$AW$74,-1),2),0,0,2,1),OFFSET(INDEX($AW$4:$AX$74,MATCH(B128,$AW$4:$AW$74,-1),1),0,0,2,1),B128),INDEX($AW$4:$AX$74,MATCH(B128,$AW$4:$AW$74,0),2))</f>
        <v>3135.6136618356168</v>
      </c>
      <c r="C129" s="123">
        <f ca="1">IF(ISNA(INDEX($BF$4:$BG$73,MATCH(C128,$BF$4:$BF$73,0),1)),TREND(OFFSET(INDEX($BF$4:$BG$73,MATCH(C128,$BF$4:$BF$73,-1),2),0,0,2,1),OFFSET(INDEX($BF$4:$BG$73,MATCH(C128,$BF$4:$BF$73,-1),1),0,0,2,1),C128),INDEX($BF$4:$BG$73,MATCH(C128,$BF$4:$BF$73,0),2))</f>
        <v>9045.8911117410153</v>
      </c>
      <c r="D129" s="123">
        <f ca="1">IF(ISNA(INDEX($BO$4:$BP$74,MATCH(D128,$BO$4:$BO$74,0),1)),TREND(OFFSET(INDEX($BO$4:$BP$74,MATCH(D128,$BO$4:$BO$74,-1),2),0,0,2,1),OFFSET(INDEX($BO$4:$BP$74,MATCH(D128,$BO$4:$BO$74,-1),1),0,0,2,1),D128),INDEX($BO$4:$BP$74,MATCH(D128,$BO$4:$BO$74,0),2))</f>
        <v>7460.7817247113071</v>
      </c>
      <c r="E129" s="123">
        <f ca="1">($I$45*B129)+($J$45*C129)+($K$45*D129)</f>
        <v>8728.869234335074</v>
      </c>
      <c r="F129" s="55"/>
      <c r="G129" s="55"/>
      <c r="H129" s="55"/>
      <c r="I129" s="55"/>
      <c r="M129"/>
      <c r="N129"/>
      <c r="O129"/>
      <c r="P129"/>
      <c r="U129" s="55"/>
      <c r="V129" s="55"/>
      <c r="W129" s="55"/>
      <c r="AC129" s="55"/>
      <c r="AD129" s="55"/>
    </row>
    <row r="130" spans="1:31" x14ac:dyDescent="0.2">
      <c r="A130" s="82" t="s">
        <v>133</v>
      </c>
      <c r="B130" s="89">
        <f ca="1">B129/$I$44</f>
        <v>3.6889572492183729</v>
      </c>
      <c r="C130" s="89">
        <f ca="1">C129/$J$44</f>
        <v>4.1117686871550072</v>
      </c>
      <c r="D130" s="89">
        <f ca="1">D129/$K$44</f>
        <v>3.4161088483110382</v>
      </c>
      <c r="E130" s="89">
        <f ca="1">E129/$L$44</f>
        <v>3.9734473936339554</v>
      </c>
      <c r="F130" s="55"/>
      <c r="G130" s="55"/>
      <c r="H130" s="55"/>
      <c r="I130" s="55"/>
      <c r="M130"/>
      <c r="N130"/>
      <c r="O130"/>
      <c r="P130"/>
      <c r="U130" s="55"/>
      <c r="V130" s="55"/>
      <c r="W130" s="55"/>
      <c r="AC130" s="55"/>
      <c r="AD130" s="55"/>
    </row>
    <row r="131" spans="1:31" x14ac:dyDescent="0.2">
      <c r="A131" s="54" t="s">
        <v>134</v>
      </c>
      <c r="B131" s="130">
        <f>B128/B120</f>
        <v>0.24646365709074325</v>
      </c>
      <c r="C131" s="130">
        <f>C128/C120</f>
        <v>0.21873566596194502</v>
      </c>
      <c r="D131" s="130">
        <f>D128/D120</f>
        <v>0.19672739160064742</v>
      </c>
      <c r="E131" s="130">
        <f>E128/E120</f>
        <v>0.21435965802266296</v>
      </c>
      <c r="F131" s="55"/>
      <c r="G131" s="55"/>
      <c r="H131" s="55"/>
      <c r="I131" s="55"/>
      <c r="M131"/>
      <c r="N131"/>
      <c r="O131" s="59"/>
      <c r="U131" s="55"/>
      <c r="V131" s="55"/>
      <c r="W131" s="55"/>
      <c r="AC131" s="55"/>
      <c r="AD131" s="55"/>
    </row>
    <row r="132" spans="1:31" x14ac:dyDescent="0.2">
      <c r="A132" s="54" t="s">
        <v>135</v>
      </c>
      <c r="B132" s="57">
        <f>(B128-B124)/B120</f>
        <v>0.2036</v>
      </c>
      <c r="C132" s="57">
        <f>(C128-C124)/C120</f>
        <v>0.15425363636363637</v>
      </c>
      <c r="D132" s="57">
        <f>(D128-D124)/D120</f>
        <v>0.1408239926739927</v>
      </c>
      <c r="E132" s="132">
        <f>(E128-E124)/E120</f>
        <v>0.15158335761107064</v>
      </c>
      <c r="F132" s="55"/>
      <c r="G132" s="55"/>
      <c r="H132" s="55"/>
      <c r="I132" s="55"/>
      <c r="M132"/>
      <c r="N132"/>
      <c r="O132" s="59"/>
      <c r="U132" s="55"/>
      <c r="V132" s="55"/>
      <c r="W132" s="55"/>
      <c r="AC132" s="55"/>
      <c r="AD132" s="55"/>
    </row>
    <row r="133" spans="1:31" x14ac:dyDescent="0.2">
      <c r="B133" s="55"/>
      <c r="C133" s="55"/>
      <c r="D133" s="55"/>
      <c r="E133" s="55"/>
      <c r="F133" s="55"/>
      <c r="G133" s="55"/>
      <c r="H133" s="55"/>
      <c r="I133" s="55"/>
      <c r="M133"/>
      <c r="N133"/>
      <c r="O133" s="59"/>
      <c r="U133" s="55"/>
      <c r="V133" s="55"/>
      <c r="W133" s="55"/>
      <c r="AC133" s="55"/>
      <c r="AD133" s="55"/>
    </row>
    <row r="134" spans="1:31" x14ac:dyDescent="0.2">
      <c r="A134" s="120" t="s">
        <v>142</v>
      </c>
      <c r="B134" s="84"/>
      <c r="C134" s="84"/>
      <c r="D134" s="84"/>
      <c r="E134" s="119" t="s">
        <v>34</v>
      </c>
      <c r="F134" s="55"/>
      <c r="G134" s="55"/>
      <c r="H134" s="55"/>
      <c r="I134" s="55"/>
      <c r="M134"/>
      <c r="N134"/>
      <c r="O134" s="59"/>
      <c r="U134" s="55"/>
      <c r="V134" s="55"/>
      <c r="W134" s="55"/>
      <c r="AC134" s="55"/>
      <c r="AD134" s="55"/>
    </row>
    <row r="135" spans="1:31" x14ac:dyDescent="0.2">
      <c r="A135" s="82"/>
      <c r="B135" s="94">
        <v>850</v>
      </c>
      <c r="C135" s="94">
        <v>2200</v>
      </c>
      <c r="D135" s="94">
        <v>2184</v>
      </c>
      <c r="E135" s="77">
        <f>($I$45*B135)+($J$45*C135)+($K$45*D135)</f>
        <v>2196.8000000000002</v>
      </c>
      <c r="F135" s="55"/>
      <c r="G135" s="55"/>
      <c r="H135" s="55"/>
      <c r="I135" s="55"/>
      <c r="M135"/>
      <c r="N135"/>
      <c r="O135" s="59"/>
      <c r="U135" s="55"/>
      <c r="V135" s="55"/>
      <c r="W135" s="55"/>
      <c r="AC135" s="55"/>
      <c r="AD135" s="55"/>
    </row>
    <row r="136" spans="1:31" x14ac:dyDescent="0.2">
      <c r="A136" s="74" t="s">
        <v>143</v>
      </c>
      <c r="B136" s="77">
        <f t="shared" ref="B136:B142" si="47">VLOOKUP(A136,$A$5:$H$33,6,FALSE)</f>
        <v>48.6</v>
      </c>
      <c r="C136" s="77">
        <f t="shared" ref="C136:C142" si="48">VLOOKUP(A136,$A$5:$H$33,7,FALSE)</f>
        <v>127.32</v>
      </c>
      <c r="D136" s="77">
        <f t="shared" ref="D136:D142" si="49">VLOOKUP(A136,$A$5:$H$33,8,FALSE)</f>
        <v>91.259999999999991</v>
      </c>
      <c r="E136" s="94"/>
      <c r="F136" s="55"/>
      <c r="G136" s="55"/>
      <c r="H136" s="55"/>
      <c r="I136" s="55"/>
      <c r="M136"/>
      <c r="N136"/>
      <c r="O136" s="59"/>
      <c r="U136" s="55"/>
      <c r="V136" s="55"/>
      <c r="W136" s="55"/>
      <c r="AC136" s="55"/>
      <c r="AD136" s="55"/>
    </row>
    <row r="137" spans="1:31" x14ac:dyDescent="0.2">
      <c r="A137" s="74" t="s">
        <v>38</v>
      </c>
      <c r="B137" s="77">
        <f t="shared" si="47"/>
        <v>33.15</v>
      </c>
      <c r="C137" s="77">
        <f t="shared" si="48"/>
        <v>19.733999999999998</v>
      </c>
      <c r="D137" s="77">
        <f t="shared" si="49"/>
        <v>28.391999999999999</v>
      </c>
      <c r="E137" s="94"/>
      <c r="F137" s="55"/>
      <c r="G137" s="55"/>
      <c r="H137" s="55"/>
      <c r="I137" s="55"/>
      <c r="M137"/>
      <c r="N137"/>
      <c r="V137" s="55"/>
      <c r="W137" s="55"/>
      <c r="X137" s="55"/>
      <c r="AD137" s="55"/>
      <c r="AE137" s="55"/>
    </row>
    <row r="138" spans="1:31" x14ac:dyDescent="0.2">
      <c r="A138" s="74" t="s">
        <v>39</v>
      </c>
      <c r="B138" s="77">
        <f t="shared" si="47"/>
        <v>24.650000000000002</v>
      </c>
      <c r="C138" s="77">
        <f t="shared" si="48"/>
        <v>30.16</v>
      </c>
      <c r="D138" s="77">
        <f t="shared" si="49"/>
        <v>21.112000000000002</v>
      </c>
      <c r="E138" s="77">
        <f>($I$45*B138)+($J$45*C138)+($K$45*D138)</f>
        <v>28.3504</v>
      </c>
      <c r="F138" s="106">
        <f>E138/E135</f>
        <v>1.2905316824471958E-2</v>
      </c>
      <c r="G138" s="55"/>
      <c r="H138" s="55"/>
      <c r="I138" s="55"/>
      <c r="M138"/>
      <c r="N138"/>
      <c r="V138" s="55"/>
      <c r="W138" s="55"/>
      <c r="X138" s="55"/>
      <c r="AD138" s="55"/>
      <c r="AE138" s="55"/>
    </row>
    <row r="139" spans="1:31" x14ac:dyDescent="0.2">
      <c r="A139" s="78" t="s">
        <v>101</v>
      </c>
      <c r="B139" s="77">
        <f t="shared" si="47"/>
        <v>31.96</v>
      </c>
      <c r="C139" s="77">
        <f t="shared" si="48"/>
        <v>124.44000000000001</v>
      </c>
      <c r="D139" s="77">
        <f t="shared" si="49"/>
        <v>107.10000000000001</v>
      </c>
      <c r="E139" s="77">
        <f>($I$45*B139)+($J$45*C139)+($K$45*D139)</f>
        <v>120.97200000000002</v>
      </c>
      <c r="F139" s="55"/>
      <c r="G139" s="55"/>
      <c r="H139" s="55"/>
      <c r="I139" s="55"/>
      <c r="M139"/>
      <c r="N139"/>
      <c r="V139" s="55"/>
      <c r="W139" s="55"/>
      <c r="X139" s="55"/>
      <c r="AD139" s="55"/>
      <c r="AE139" s="55"/>
    </row>
    <row r="140" spans="1:31" x14ac:dyDescent="0.2">
      <c r="A140" s="74" t="s">
        <v>103</v>
      </c>
      <c r="B140" s="77">
        <f t="shared" si="47"/>
        <v>7.6</v>
      </c>
      <c r="C140" s="77">
        <f t="shared" si="48"/>
        <v>10.45</v>
      </c>
      <c r="D140" s="77">
        <f t="shared" si="49"/>
        <v>7.6</v>
      </c>
      <c r="E140" s="94"/>
      <c r="F140" s="55"/>
      <c r="G140" s="55"/>
      <c r="H140" s="55"/>
      <c r="I140" s="55"/>
      <c r="M140"/>
      <c r="N140"/>
      <c r="V140" s="55"/>
      <c r="W140" s="55"/>
      <c r="X140" s="55"/>
      <c r="AD140" s="55"/>
      <c r="AE140" s="55"/>
    </row>
    <row r="141" spans="1:31" x14ac:dyDescent="0.2">
      <c r="A141" s="82" t="s">
        <v>136</v>
      </c>
      <c r="B141" s="77">
        <f t="shared" si="47"/>
        <v>42.839999999999996</v>
      </c>
      <c r="C141" s="77">
        <f t="shared" si="48"/>
        <v>127.88999999999999</v>
      </c>
      <c r="D141" s="77">
        <f t="shared" si="49"/>
        <v>110.07359999999998</v>
      </c>
      <c r="E141" s="94"/>
      <c r="F141" s="55"/>
      <c r="G141" s="55"/>
      <c r="H141" s="55"/>
      <c r="I141" s="55"/>
      <c r="M141"/>
      <c r="N141"/>
      <c r="V141" s="55"/>
      <c r="W141" s="55"/>
      <c r="X141" s="55"/>
      <c r="AD141" s="55"/>
      <c r="AE141" s="55"/>
    </row>
    <row r="142" spans="1:31" x14ac:dyDescent="0.2">
      <c r="A142" s="74" t="s">
        <v>149</v>
      </c>
      <c r="B142" s="77">
        <f t="shared" si="47"/>
        <v>0</v>
      </c>
      <c r="C142" s="77">
        <f t="shared" si="48"/>
        <v>0</v>
      </c>
      <c r="D142" s="77">
        <f t="shared" si="49"/>
        <v>31.968</v>
      </c>
      <c r="E142" s="94"/>
      <c r="F142" s="55"/>
      <c r="G142" s="55"/>
      <c r="H142" s="55"/>
      <c r="I142" s="55"/>
      <c r="M142"/>
      <c r="N142" s="59"/>
      <c r="V142" s="55"/>
      <c r="W142" s="55"/>
      <c r="X142" s="55"/>
      <c r="AD142" s="55"/>
      <c r="AE142" s="55"/>
    </row>
    <row r="143" spans="1:31" x14ac:dyDescent="0.2">
      <c r="A143" s="94" t="s">
        <v>33</v>
      </c>
      <c r="B143" s="77">
        <f>SUM(B136:B142)</f>
        <v>188.8</v>
      </c>
      <c r="C143" s="77">
        <f>SUM(C136:C142)</f>
        <v>439.99399999999997</v>
      </c>
      <c r="D143" s="77">
        <f>SUM(D136:D142)</f>
        <v>397.50559999999996</v>
      </c>
      <c r="E143" s="77">
        <f>($I$45*B143)+($J$45*C143)+($K$45*D143)</f>
        <v>431.49632000000003</v>
      </c>
      <c r="F143" s="55"/>
      <c r="G143" s="55"/>
      <c r="H143" s="55"/>
      <c r="I143" s="55"/>
      <c r="M143"/>
      <c r="V143" s="55"/>
      <c r="W143" s="55"/>
      <c r="X143" s="55"/>
      <c r="AD143" s="55"/>
      <c r="AE143" s="55"/>
    </row>
    <row r="144" spans="1:31" x14ac:dyDescent="0.2">
      <c r="A144" s="122" t="s">
        <v>132</v>
      </c>
      <c r="B144" s="123">
        <f ca="1">IF(ISNA(INDEX($AW$4:$AX$74,MATCH(B143,$AW$4:$AW$74,0),1)),TREND(OFFSET(INDEX($AW$4:$AX$74,MATCH(B143,$AW$4:$AW$74,-1),2),0,0,2,1),OFFSET(INDEX($AW$4:$AX$74,MATCH(B143,$AW$4:$AW$74,-1),1),0,0,2,1),B143),INDEX($AW$4:$AX$74,MATCH(B143,$AW$4:$AW$74,0),2))</f>
        <v>2481.7796503564805</v>
      </c>
      <c r="C144" s="123">
        <f ca="1">IF(ISNA(INDEX($BF$4:$BG$73,MATCH(C143,$BF$4:$BF$73,0),1)),TREND(OFFSET(INDEX($BF$4:$BG$73,MATCH(C143,$BF$4:$BF$73,-1),2),0,0,2,1),OFFSET(INDEX($BF$4:$BG$73,MATCH(C143,$BF$4:$BF$73,-1),1),0,0,2,1),C143),INDEX($BF$4:$BG$73,MATCH(C143,$BF$4:$BF$73,0),2))</f>
        <v>7698.0530216232055</v>
      </c>
      <c r="D144" s="123">
        <f ca="1">IF(ISNA(INDEX($BO$4:$BP$74,MATCH(D143,$BO$4:$BO$74,0),1)),TREND(OFFSET(INDEX($BO$4:$BP$74,MATCH(D143,$BO$4:$BO$74,-1),2),0,0,2,1),OFFSET(INDEX($BO$4:$BP$74,MATCH(D143,$BO$4:$BO$74,-1),1),0,0,2,1),D143),INDEX($BO$4:$BP$74,MATCH(D143,$BO$4:$BO$74,0),2))</f>
        <v>6426.8389588670761</v>
      </c>
      <c r="E144" s="123">
        <f ca="1">($I$45*B144)+($J$45*C144)+($K$45*D144)</f>
        <v>7443.8102090719804</v>
      </c>
      <c r="F144" s="55"/>
      <c r="G144" s="55"/>
      <c r="H144" s="55"/>
      <c r="I144" s="55"/>
      <c r="M144" s="59"/>
      <c r="V144" s="55"/>
      <c r="W144" s="55"/>
      <c r="X144" s="55"/>
      <c r="AD144" s="55"/>
      <c r="AE144" s="55"/>
    </row>
    <row r="145" spans="1:31" x14ac:dyDescent="0.2">
      <c r="A145" s="82" t="s">
        <v>133</v>
      </c>
      <c r="B145" s="89">
        <f ca="1">B144/$I$44</f>
        <v>2.9197407651252711</v>
      </c>
      <c r="C145" s="89">
        <f ca="1">C144/$J$44</f>
        <v>3.4991150098287296</v>
      </c>
      <c r="D145" s="89">
        <f ca="1">D144/$K$44</f>
        <v>2.9426918309830934</v>
      </c>
      <c r="E145" s="89">
        <f ca="1">E144/$L$44</f>
        <v>3.388478791456655</v>
      </c>
      <c r="F145" s="55"/>
      <c r="G145" s="55"/>
      <c r="H145" s="55"/>
      <c r="I145" s="55"/>
      <c r="V145" s="55"/>
      <c r="W145" s="55"/>
      <c r="X145" s="55"/>
      <c r="AD145" s="55"/>
      <c r="AE145" s="55"/>
    </row>
    <row r="146" spans="1:31" x14ac:dyDescent="0.2">
      <c r="A146" s="54" t="s">
        <v>134</v>
      </c>
      <c r="B146" s="130">
        <f>B143/B135</f>
        <v>0.22211764705882353</v>
      </c>
      <c r="C146" s="130">
        <f>C143/C135</f>
        <v>0.19999727272727272</v>
      </c>
      <c r="D146" s="130">
        <f>D143/D135</f>
        <v>0.18200805860805858</v>
      </c>
      <c r="E146" s="130">
        <f>E143/E135</f>
        <v>0.19642039329934449</v>
      </c>
      <c r="F146" s="55"/>
      <c r="G146" s="55"/>
      <c r="H146" s="55"/>
      <c r="I146" s="55"/>
      <c r="U146" s="55"/>
      <c r="V146" s="55"/>
      <c r="W146" s="55"/>
      <c r="AC146" s="55"/>
      <c r="AD146" s="55"/>
    </row>
    <row r="147" spans="1:31" x14ac:dyDescent="0.2">
      <c r="A147" s="54" t="s">
        <v>135</v>
      </c>
      <c r="B147" s="57">
        <f>(B143-B139)/B135</f>
        <v>0.18451764705882354</v>
      </c>
      <c r="C147" s="57">
        <f>(C143-C139)/C135</f>
        <v>0.14343363636363635</v>
      </c>
      <c r="D147" s="57">
        <f>(D143-D139)/D135</f>
        <v>0.13296959706959705</v>
      </c>
      <c r="E147" s="132">
        <f>(E143-E139)/E135</f>
        <v>0.14135302257829568</v>
      </c>
      <c r="F147" s="55"/>
      <c r="G147" s="55"/>
      <c r="H147" s="55"/>
      <c r="I147" s="55"/>
      <c r="U147" s="55"/>
      <c r="V147" s="55"/>
      <c r="W147" s="55"/>
      <c r="AC147" s="55"/>
      <c r="AD147" s="55"/>
    </row>
    <row r="148" spans="1:31" x14ac:dyDescent="0.2">
      <c r="B148" s="55"/>
      <c r="C148" s="55"/>
      <c r="D148" s="55"/>
      <c r="E148" s="55"/>
      <c r="F148" s="55"/>
      <c r="G148" s="55"/>
      <c r="H148" s="55"/>
      <c r="I148" s="55"/>
      <c r="U148" s="55"/>
      <c r="V148" s="55"/>
      <c r="W148" s="55"/>
      <c r="AC148" s="55"/>
      <c r="AD148" s="55"/>
    </row>
    <row r="149" spans="1:31" x14ac:dyDescent="0.2">
      <c r="B149" s="55"/>
      <c r="C149" s="55"/>
      <c r="D149" s="55"/>
      <c r="E149" s="55"/>
      <c r="F149" s="55"/>
      <c r="G149" s="55"/>
      <c r="H149" s="55"/>
      <c r="I149" s="55"/>
      <c r="U149" s="55"/>
      <c r="V149" s="55"/>
      <c r="W149" s="55"/>
      <c r="AC149" s="55"/>
      <c r="AD149" s="55"/>
    </row>
    <row r="150" spans="1:31" x14ac:dyDescent="0.2">
      <c r="B150" s="55"/>
      <c r="C150" s="55"/>
      <c r="D150" s="55"/>
      <c r="E150" s="55"/>
      <c r="F150" s="55"/>
      <c r="G150" s="55"/>
      <c r="H150" s="55"/>
      <c r="I150" s="55"/>
      <c r="U150" s="55"/>
      <c r="V150" s="55"/>
      <c r="W150" s="55"/>
      <c r="AC150" s="55"/>
      <c r="AD150" s="55"/>
    </row>
    <row r="151" spans="1:31" x14ac:dyDescent="0.2">
      <c r="B151" s="55"/>
      <c r="C151" s="55"/>
      <c r="D151" s="55"/>
      <c r="E151" s="55"/>
      <c r="F151" s="55"/>
      <c r="G151" s="55"/>
      <c r="H151" s="55"/>
      <c r="I151" s="55"/>
      <c r="U151" s="55"/>
      <c r="V151" s="55"/>
      <c r="W151" s="55"/>
      <c r="AC151" s="55"/>
      <c r="AD151" s="55"/>
    </row>
    <row r="152" spans="1:31" x14ac:dyDescent="0.2">
      <c r="B152" s="55"/>
      <c r="C152" s="55"/>
      <c r="D152" s="55"/>
      <c r="E152" s="55"/>
      <c r="F152" s="55"/>
      <c r="G152" s="55"/>
      <c r="H152" s="55"/>
      <c r="I152" s="55"/>
      <c r="U152" s="55"/>
      <c r="V152" s="55"/>
      <c r="W152" s="55"/>
      <c r="AC152" s="55"/>
      <c r="AD152" s="55"/>
    </row>
    <row r="153" spans="1:31" x14ac:dyDescent="0.2">
      <c r="B153" s="55"/>
      <c r="C153" s="55"/>
      <c r="D153" s="55"/>
      <c r="E153" s="55"/>
      <c r="F153" s="55"/>
      <c r="G153" s="55"/>
      <c r="H153" s="55"/>
      <c r="I153" s="55"/>
      <c r="U153" s="55"/>
      <c r="V153" s="55"/>
      <c r="W153" s="55"/>
      <c r="AC153" s="55"/>
      <c r="AD153" s="55"/>
    </row>
    <row r="154" spans="1:31" x14ac:dyDescent="0.2">
      <c r="B154" s="55"/>
      <c r="C154" s="55"/>
      <c r="D154" s="55"/>
      <c r="E154" s="55"/>
      <c r="F154" s="55"/>
      <c r="G154" s="55"/>
      <c r="H154" s="55"/>
      <c r="I154" s="55"/>
      <c r="U154" s="55"/>
      <c r="V154" s="55"/>
      <c r="W154" s="55"/>
      <c r="AC154" s="55"/>
      <c r="AD154" s="55"/>
    </row>
    <row r="155" spans="1:31" x14ac:dyDescent="0.2">
      <c r="B155" s="55"/>
      <c r="C155" s="55"/>
      <c r="D155" s="55"/>
      <c r="E155" s="55"/>
      <c r="F155" s="55"/>
      <c r="G155" s="55"/>
      <c r="H155" s="55"/>
      <c r="I155" s="55"/>
      <c r="U155" s="55"/>
      <c r="V155" s="55"/>
      <c r="W155" s="55"/>
      <c r="AC155" s="55"/>
      <c r="AD155" s="55"/>
    </row>
    <row r="156" spans="1:31" x14ac:dyDescent="0.2">
      <c r="B156" s="55"/>
      <c r="C156" s="55"/>
      <c r="D156" s="55"/>
      <c r="E156" s="55"/>
      <c r="F156" s="55"/>
      <c r="G156" s="55"/>
      <c r="H156" s="55"/>
      <c r="I156" s="55"/>
      <c r="U156" s="55"/>
      <c r="V156" s="55"/>
      <c r="W156" s="55"/>
      <c r="AC156" s="55"/>
      <c r="AD156" s="55"/>
    </row>
    <row r="157" spans="1:31" x14ac:dyDescent="0.2">
      <c r="B157" s="55"/>
      <c r="C157" s="55"/>
      <c r="D157" s="55"/>
      <c r="E157" s="55"/>
      <c r="F157" s="55"/>
      <c r="G157" s="55"/>
      <c r="H157" s="55"/>
      <c r="I157" s="55"/>
      <c r="U157" s="55"/>
      <c r="V157" s="55"/>
      <c r="W157" s="55"/>
      <c r="AC157" s="55"/>
      <c r="AD157" s="55"/>
    </row>
    <row r="158" spans="1:31" x14ac:dyDescent="0.2">
      <c r="B158" s="55"/>
      <c r="C158" s="55"/>
      <c r="D158" s="55"/>
      <c r="E158" s="55"/>
      <c r="F158" s="55"/>
      <c r="G158" s="55"/>
      <c r="H158" s="55"/>
      <c r="I158" s="55"/>
      <c r="U158" s="55"/>
      <c r="V158" s="55"/>
      <c r="W158" s="55"/>
      <c r="AC158" s="55"/>
      <c r="AD158" s="55"/>
    </row>
    <row r="159" spans="1:31" x14ac:dyDescent="0.2">
      <c r="B159" s="55"/>
      <c r="C159" s="55"/>
      <c r="D159" s="55"/>
      <c r="E159" s="55"/>
      <c r="F159" s="55"/>
      <c r="G159" s="55"/>
      <c r="H159" s="55"/>
      <c r="I159" s="55"/>
      <c r="U159" s="55"/>
      <c r="V159" s="55"/>
      <c r="W159" s="55"/>
      <c r="AC159" s="55"/>
      <c r="AD159" s="55"/>
    </row>
    <row r="160" spans="1:31" x14ac:dyDescent="0.2">
      <c r="B160" s="55"/>
      <c r="C160" s="55"/>
      <c r="D160" s="55"/>
      <c r="E160" s="55"/>
      <c r="F160" s="55"/>
      <c r="G160" s="55"/>
      <c r="H160" s="55"/>
      <c r="I160" s="55"/>
      <c r="U160" s="55"/>
      <c r="V160" s="55"/>
      <c r="W160" s="55"/>
      <c r="AC160" s="55"/>
      <c r="AD160" s="55"/>
    </row>
    <row r="161" spans="2:30" x14ac:dyDescent="0.2">
      <c r="B161" s="55"/>
      <c r="C161" s="55"/>
      <c r="D161" s="55"/>
      <c r="E161" s="55"/>
      <c r="F161" s="55"/>
      <c r="G161" s="55"/>
      <c r="H161" s="55"/>
      <c r="I161" s="55"/>
      <c r="U161" s="55"/>
      <c r="V161" s="55"/>
      <c r="W161" s="55"/>
      <c r="AC161" s="55"/>
      <c r="AD161" s="55"/>
    </row>
    <row r="162" spans="2:30" x14ac:dyDescent="0.2">
      <c r="B162" s="55"/>
      <c r="C162" s="55"/>
      <c r="D162" s="55"/>
      <c r="E162" s="55"/>
      <c r="F162" s="55"/>
      <c r="G162" s="55"/>
      <c r="H162" s="55"/>
      <c r="I162" s="55"/>
      <c r="U162" s="55"/>
      <c r="V162" s="55"/>
      <c r="W162" s="55"/>
      <c r="AC162" s="55"/>
      <c r="AD162" s="55"/>
    </row>
    <row r="163" spans="2:30" x14ac:dyDescent="0.2">
      <c r="B163" s="55"/>
      <c r="C163" s="55"/>
      <c r="D163" s="55"/>
      <c r="E163" s="55"/>
      <c r="F163" s="55"/>
      <c r="G163" s="55"/>
      <c r="H163" s="55"/>
      <c r="I163" s="55"/>
      <c r="U163" s="55"/>
      <c r="V163" s="55"/>
      <c r="W163" s="55"/>
      <c r="AC163" s="55"/>
      <c r="AD163" s="55"/>
    </row>
    <row r="164" spans="2:30" x14ac:dyDescent="0.2">
      <c r="B164" s="55"/>
      <c r="C164" s="55"/>
      <c r="D164" s="55"/>
      <c r="E164" s="55"/>
      <c r="F164" s="55"/>
      <c r="G164" s="55"/>
      <c r="H164" s="55"/>
      <c r="I164" s="55"/>
      <c r="U164" s="55"/>
      <c r="V164" s="55"/>
      <c r="W164" s="55"/>
      <c r="AC164" s="55"/>
      <c r="AD164" s="55"/>
    </row>
    <row r="165" spans="2:30" x14ac:dyDescent="0.2">
      <c r="B165" s="55"/>
      <c r="C165" s="55"/>
      <c r="D165" s="55"/>
      <c r="E165" s="55"/>
      <c r="F165" s="55"/>
      <c r="G165" s="55"/>
      <c r="H165" s="55"/>
      <c r="I165" s="55"/>
      <c r="U165" s="55"/>
      <c r="V165" s="55"/>
      <c r="W165" s="55"/>
      <c r="AC165" s="55"/>
      <c r="AD165" s="55"/>
    </row>
    <row r="166" spans="2:30" x14ac:dyDescent="0.2">
      <c r="B166" s="55"/>
      <c r="C166" s="55"/>
      <c r="D166" s="55"/>
      <c r="E166" s="55"/>
      <c r="F166" s="55"/>
      <c r="G166" s="55"/>
      <c r="H166" s="55"/>
      <c r="I166" s="55"/>
      <c r="U166" s="55"/>
      <c r="V166" s="55"/>
      <c r="W166" s="55"/>
      <c r="AC166" s="55"/>
      <c r="AD166" s="55"/>
    </row>
    <row r="167" spans="2:30" x14ac:dyDescent="0.2">
      <c r="B167" s="55"/>
      <c r="C167" s="55"/>
      <c r="D167" s="55"/>
      <c r="E167" s="55"/>
      <c r="F167" s="55"/>
      <c r="G167" s="55"/>
      <c r="H167" s="55"/>
      <c r="I167" s="55"/>
      <c r="U167" s="55"/>
      <c r="V167" s="55"/>
      <c r="W167" s="55"/>
      <c r="AC167" s="55"/>
      <c r="AD167" s="55"/>
    </row>
    <row r="168" spans="2:30" x14ac:dyDescent="0.2">
      <c r="B168" s="55"/>
      <c r="C168" s="55"/>
      <c r="D168" s="55"/>
      <c r="E168" s="55"/>
      <c r="F168" s="55"/>
      <c r="G168" s="55"/>
      <c r="H168" s="55"/>
      <c r="I168" s="55"/>
      <c r="U168" s="55"/>
      <c r="V168" s="55"/>
      <c r="W168" s="55"/>
      <c r="AC168" s="55"/>
      <c r="AD168" s="55"/>
    </row>
    <row r="169" spans="2:30" x14ac:dyDescent="0.2">
      <c r="B169" s="55"/>
      <c r="C169" s="55"/>
      <c r="D169" s="55"/>
      <c r="E169" s="55"/>
      <c r="F169" s="55"/>
      <c r="G169" s="55"/>
      <c r="H169" s="55"/>
      <c r="I169" s="55"/>
      <c r="U169" s="55"/>
      <c r="V169" s="55"/>
      <c r="W169" s="55"/>
      <c r="AC169" s="55"/>
      <c r="AD169" s="55"/>
    </row>
    <row r="170" spans="2:30" x14ac:dyDescent="0.2">
      <c r="B170" s="55"/>
      <c r="C170" s="55"/>
      <c r="D170" s="55"/>
      <c r="E170" s="55"/>
      <c r="F170" s="55"/>
      <c r="G170" s="55"/>
      <c r="H170" s="55"/>
      <c r="I170" s="55"/>
      <c r="U170" s="55"/>
      <c r="V170" s="55"/>
      <c r="W170" s="55"/>
      <c r="AC170" s="55"/>
      <c r="AD170" s="55"/>
    </row>
    <row r="171" spans="2:30" x14ac:dyDescent="0.2">
      <c r="B171" s="55"/>
      <c r="C171" s="55"/>
      <c r="D171" s="55"/>
      <c r="E171" s="55"/>
      <c r="F171" s="55"/>
      <c r="G171" s="55"/>
      <c r="H171" s="55"/>
      <c r="I171" s="55"/>
      <c r="U171" s="55"/>
      <c r="V171" s="55"/>
      <c r="W171" s="55"/>
      <c r="AC171" s="55"/>
      <c r="AD171" s="55"/>
    </row>
    <row r="172" spans="2:30" x14ac:dyDescent="0.2">
      <c r="B172" s="55"/>
      <c r="C172" s="55"/>
      <c r="D172" s="55"/>
      <c r="E172" s="55"/>
      <c r="F172" s="55"/>
      <c r="G172" s="55"/>
      <c r="H172" s="55"/>
      <c r="I172" s="55"/>
      <c r="U172" s="55"/>
      <c r="V172" s="55"/>
      <c r="W172" s="55"/>
      <c r="AC172" s="55"/>
      <c r="AD172" s="55"/>
    </row>
    <row r="173" spans="2:30" x14ac:dyDescent="0.2">
      <c r="B173" s="55"/>
      <c r="C173" s="55"/>
      <c r="D173" s="55"/>
      <c r="E173" s="55"/>
      <c r="F173" s="55"/>
      <c r="G173" s="55"/>
      <c r="H173" s="55"/>
      <c r="I173" s="55"/>
      <c r="U173" s="55"/>
      <c r="V173" s="55"/>
      <c r="W173" s="55"/>
      <c r="AC173" s="55"/>
      <c r="AD173" s="55"/>
    </row>
    <row r="174" spans="2:30" x14ac:dyDescent="0.2">
      <c r="B174" s="55"/>
      <c r="C174" s="55"/>
      <c r="D174" s="55"/>
      <c r="E174" s="55"/>
      <c r="F174" s="55"/>
      <c r="G174" s="55"/>
      <c r="H174" s="55"/>
      <c r="I174" s="55"/>
      <c r="U174" s="55"/>
      <c r="V174" s="55"/>
      <c r="W174" s="55"/>
      <c r="AC174" s="55"/>
      <c r="AD174" s="55"/>
    </row>
    <row r="175" spans="2:30" x14ac:dyDescent="0.2">
      <c r="B175" s="55"/>
      <c r="C175" s="55"/>
      <c r="D175" s="55"/>
      <c r="E175" s="55"/>
      <c r="F175" s="55"/>
      <c r="G175" s="55"/>
      <c r="H175" s="55"/>
      <c r="I175" s="55"/>
      <c r="U175" s="55"/>
      <c r="V175" s="55"/>
      <c r="W175" s="55"/>
      <c r="AC175" s="55"/>
      <c r="AD175" s="55"/>
    </row>
    <row r="176" spans="2:30" x14ac:dyDescent="0.2">
      <c r="B176" s="55"/>
      <c r="C176" s="55"/>
      <c r="D176" s="55"/>
      <c r="E176" s="55"/>
      <c r="F176" s="55"/>
      <c r="G176" s="55"/>
      <c r="H176" s="55"/>
      <c r="I176" s="55"/>
      <c r="U176" s="55"/>
      <c r="V176" s="55"/>
      <c r="W176" s="55"/>
      <c r="AC176" s="55"/>
      <c r="AD176" s="55"/>
    </row>
    <row r="177" spans="2:30" x14ac:dyDescent="0.2">
      <c r="B177" s="55"/>
      <c r="C177" s="55"/>
      <c r="D177" s="55"/>
      <c r="E177" s="55"/>
      <c r="F177" s="55"/>
      <c r="G177" s="55"/>
      <c r="H177" s="55"/>
      <c r="I177" s="55"/>
      <c r="U177" s="55"/>
      <c r="V177" s="55"/>
      <c r="W177" s="55"/>
      <c r="AC177" s="55"/>
      <c r="AD177" s="55"/>
    </row>
    <row r="178" spans="2:30" x14ac:dyDescent="0.2">
      <c r="B178" s="55"/>
      <c r="C178" s="55"/>
      <c r="D178" s="55"/>
      <c r="E178" s="55"/>
      <c r="F178" s="55"/>
      <c r="G178" s="55"/>
      <c r="H178" s="55"/>
      <c r="I178" s="55"/>
      <c r="U178" s="55"/>
      <c r="V178" s="55"/>
      <c r="W178" s="55"/>
      <c r="AC178" s="55"/>
      <c r="AD178" s="55"/>
    </row>
    <row r="179" spans="2:30" x14ac:dyDescent="0.2">
      <c r="B179" s="55"/>
      <c r="C179" s="55"/>
      <c r="D179" s="55"/>
      <c r="E179" s="55"/>
      <c r="F179" s="55"/>
      <c r="G179" s="55"/>
      <c r="H179" s="55"/>
      <c r="I179" s="55"/>
      <c r="U179" s="55"/>
      <c r="V179" s="55"/>
      <c r="W179" s="55"/>
      <c r="AC179" s="55"/>
      <c r="AD179" s="55"/>
    </row>
    <row r="180" spans="2:30" x14ac:dyDescent="0.2">
      <c r="B180" s="55"/>
      <c r="C180" s="55"/>
      <c r="D180" s="55"/>
      <c r="E180" s="55"/>
      <c r="F180" s="55"/>
      <c r="G180" s="55"/>
      <c r="H180" s="55"/>
      <c r="I180" s="55"/>
      <c r="U180" s="55"/>
      <c r="V180" s="55"/>
      <c r="W180" s="55"/>
      <c r="AC180" s="55"/>
      <c r="AD180" s="55"/>
    </row>
    <row r="181" spans="2:30" x14ac:dyDescent="0.2">
      <c r="B181" s="55"/>
      <c r="C181" s="55"/>
      <c r="D181" s="55"/>
      <c r="E181" s="55"/>
      <c r="F181" s="55"/>
      <c r="G181" s="55"/>
      <c r="H181" s="55"/>
      <c r="I181" s="55"/>
      <c r="U181" s="55"/>
      <c r="V181" s="55"/>
      <c r="W181" s="55"/>
      <c r="AC181" s="55"/>
      <c r="AD181" s="55"/>
    </row>
    <row r="182" spans="2:30" x14ac:dyDescent="0.2">
      <c r="B182" s="55"/>
      <c r="C182" s="55"/>
      <c r="D182" s="55"/>
      <c r="E182" s="55"/>
      <c r="F182" s="55"/>
      <c r="G182" s="55"/>
      <c r="H182" s="55"/>
      <c r="I182" s="55"/>
      <c r="U182" s="55"/>
      <c r="V182" s="55"/>
      <c r="W182" s="55"/>
      <c r="AC182" s="55"/>
      <c r="AD182" s="55"/>
    </row>
    <row r="183" spans="2:30" x14ac:dyDescent="0.2">
      <c r="B183" s="55"/>
      <c r="C183" s="55"/>
      <c r="D183" s="55"/>
      <c r="E183" s="55"/>
      <c r="F183" s="55"/>
      <c r="G183" s="55"/>
      <c r="H183" s="55"/>
      <c r="I183" s="55"/>
      <c r="U183" s="55"/>
      <c r="V183" s="55"/>
      <c r="W183" s="55"/>
      <c r="AC183" s="55"/>
      <c r="AD183" s="55"/>
    </row>
    <row r="184" spans="2:30" x14ac:dyDescent="0.2">
      <c r="B184" s="55"/>
      <c r="C184" s="55"/>
      <c r="D184" s="55"/>
      <c r="E184" s="55"/>
      <c r="F184" s="55"/>
      <c r="G184" s="55"/>
      <c r="H184" s="55"/>
      <c r="I184" s="55"/>
      <c r="U184" s="55"/>
      <c r="V184" s="55"/>
      <c r="W184" s="55"/>
      <c r="AC184" s="55"/>
      <c r="AD184" s="55"/>
    </row>
    <row r="185" spans="2:30" x14ac:dyDescent="0.2">
      <c r="B185" s="55"/>
      <c r="C185" s="55"/>
      <c r="D185" s="55"/>
      <c r="E185" s="55"/>
      <c r="F185" s="55"/>
      <c r="G185" s="55"/>
      <c r="H185" s="55"/>
      <c r="I185" s="55"/>
      <c r="U185" s="55"/>
      <c r="V185" s="55"/>
      <c r="W185" s="55"/>
      <c r="AC185" s="55"/>
      <c r="AD185" s="55"/>
    </row>
    <row r="186" spans="2:30" x14ac:dyDescent="0.2">
      <c r="B186" s="55"/>
      <c r="C186" s="55"/>
      <c r="D186" s="55"/>
      <c r="E186" s="55"/>
      <c r="F186" s="55"/>
      <c r="G186" s="55"/>
      <c r="H186" s="55"/>
      <c r="I186" s="55"/>
      <c r="U186" s="55"/>
      <c r="V186" s="55"/>
      <c r="W186" s="55"/>
      <c r="AC186" s="55"/>
      <c r="AD186" s="55"/>
    </row>
    <row r="187" spans="2:30" x14ac:dyDescent="0.2">
      <c r="B187" s="55"/>
      <c r="C187" s="55"/>
      <c r="D187" s="55"/>
      <c r="E187" s="55"/>
      <c r="F187" s="55"/>
      <c r="G187" s="55"/>
      <c r="H187" s="55"/>
      <c r="I187" s="55"/>
      <c r="U187" s="55"/>
      <c r="V187" s="55"/>
      <c r="W187" s="55"/>
      <c r="AC187" s="55"/>
      <c r="AD187" s="55"/>
    </row>
    <row r="188" spans="2:30" x14ac:dyDescent="0.2">
      <c r="B188" s="55"/>
      <c r="C188" s="55"/>
      <c r="D188" s="55"/>
      <c r="E188" s="55"/>
      <c r="F188" s="55"/>
      <c r="G188" s="55"/>
      <c r="H188" s="55"/>
      <c r="I188" s="55"/>
      <c r="U188" s="55"/>
      <c r="V188" s="55"/>
      <c r="W188" s="55"/>
      <c r="AC188" s="55"/>
      <c r="AD188" s="55"/>
    </row>
    <row r="189" spans="2:30" x14ac:dyDescent="0.2">
      <c r="B189" s="55"/>
      <c r="C189" s="55"/>
      <c r="D189" s="55"/>
      <c r="E189" s="55"/>
      <c r="F189" s="55"/>
      <c r="G189" s="55"/>
      <c r="H189" s="55"/>
      <c r="I189" s="55"/>
      <c r="U189" s="55"/>
      <c r="V189" s="55"/>
      <c r="W189" s="55"/>
      <c r="AC189" s="55"/>
      <c r="AD189" s="55"/>
    </row>
    <row r="190" spans="2:30" x14ac:dyDescent="0.2">
      <c r="B190" s="55"/>
      <c r="C190" s="55"/>
      <c r="D190" s="55"/>
      <c r="E190" s="55"/>
      <c r="F190" s="55"/>
      <c r="G190" s="55"/>
      <c r="H190" s="55"/>
      <c r="I190" s="55"/>
      <c r="U190" s="55"/>
      <c r="V190" s="55"/>
      <c r="W190" s="55"/>
      <c r="AC190" s="55"/>
      <c r="AD190" s="55"/>
    </row>
    <row r="191" spans="2:30" x14ac:dyDescent="0.2">
      <c r="B191" s="55"/>
      <c r="C191" s="55"/>
      <c r="D191" s="55"/>
      <c r="E191" s="55"/>
      <c r="F191" s="55"/>
      <c r="G191" s="55"/>
      <c r="H191" s="55"/>
      <c r="I191" s="55"/>
      <c r="U191" s="55"/>
      <c r="V191" s="55"/>
      <c r="W191" s="55"/>
      <c r="AC191" s="55"/>
      <c r="AD191" s="55"/>
    </row>
    <row r="192" spans="2:30" x14ac:dyDescent="0.2">
      <c r="B192" s="55"/>
      <c r="C192" s="55"/>
      <c r="D192" s="55"/>
      <c r="E192" s="55"/>
      <c r="F192" s="55"/>
      <c r="G192" s="55"/>
      <c r="H192" s="55"/>
      <c r="I192" s="55"/>
      <c r="U192" s="55"/>
      <c r="V192" s="55"/>
      <c r="W192" s="55"/>
      <c r="AC192" s="55"/>
      <c r="AD192" s="55"/>
    </row>
    <row r="193" spans="2:30" x14ac:dyDescent="0.2">
      <c r="B193" s="55"/>
      <c r="C193" s="55"/>
      <c r="D193" s="55"/>
      <c r="E193" s="55"/>
      <c r="F193" s="55"/>
      <c r="G193" s="55"/>
      <c r="H193" s="55"/>
      <c r="I193" s="55"/>
      <c r="U193" s="55"/>
      <c r="V193" s="55"/>
      <c r="W193" s="55"/>
      <c r="AC193" s="55"/>
      <c r="AD193" s="55"/>
    </row>
    <row r="194" spans="2:30" x14ac:dyDescent="0.2">
      <c r="B194" s="55"/>
      <c r="C194" s="55"/>
      <c r="D194" s="55"/>
      <c r="E194" s="55"/>
      <c r="F194" s="55"/>
      <c r="G194" s="55"/>
      <c r="H194" s="55"/>
      <c r="I194" s="55"/>
      <c r="U194" s="55"/>
      <c r="V194" s="55"/>
      <c r="W194" s="55"/>
      <c r="AC194" s="55"/>
      <c r="AD194" s="55"/>
    </row>
    <row r="195" spans="2:30" x14ac:dyDescent="0.2">
      <c r="B195" s="55"/>
      <c r="C195" s="55"/>
      <c r="D195" s="55"/>
      <c r="E195" s="55"/>
      <c r="F195" s="55"/>
      <c r="G195" s="55"/>
      <c r="H195" s="55"/>
      <c r="I195" s="55"/>
      <c r="U195" s="55"/>
      <c r="V195" s="55"/>
      <c r="W195" s="55"/>
      <c r="AC195" s="55"/>
      <c r="AD195" s="55"/>
    </row>
    <row r="196" spans="2:30" x14ac:dyDescent="0.2">
      <c r="B196" s="55"/>
      <c r="C196" s="55"/>
      <c r="D196" s="55"/>
      <c r="E196" s="55"/>
      <c r="F196" s="55"/>
      <c r="G196" s="55"/>
      <c r="H196" s="55"/>
      <c r="I196" s="55"/>
      <c r="U196" s="55"/>
      <c r="V196" s="55"/>
      <c r="W196" s="55"/>
      <c r="AC196" s="55"/>
      <c r="AD196" s="55"/>
    </row>
    <row r="197" spans="2:30" x14ac:dyDescent="0.2">
      <c r="B197" s="55"/>
      <c r="C197" s="55"/>
      <c r="D197" s="55"/>
      <c r="E197" s="55"/>
      <c r="F197" s="55"/>
      <c r="G197" s="55"/>
      <c r="H197" s="55"/>
      <c r="I197" s="55"/>
      <c r="U197" s="55"/>
      <c r="V197" s="55"/>
      <c r="W197" s="55"/>
      <c r="AC197" s="55"/>
      <c r="AD197" s="55"/>
    </row>
    <row r="198" spans="2:30" x14ac:dyDescent="0.2">
      <c r="B198" s="55"/>
      <c r="C198" s="55"/>
      <c r="D198" s="55"/>
      <c r="E198" s="55"/>
      <c r="F198" s="55"/>
      <c r="G198" s="55"/>
      <c r="H198" s="55"/>
      <c r="I198" s="55"/>
      <c r="U198" s="55"/>
      <c r="V198" s="55"/>
      <c r="W198" s="55"/>
      <c r="AC198" s="55"/>
      <c r="AD198" s="55"/>
    </row>
    <row r="199" spans="2:30" x14ac:dyDescent="0.2">
      <c r="B199" s="55"/>
      <c r="C199" s="55"/>
      <c r="D199" s="55"/>
      <c r="E199" s="55"/>
      <c r="F199" s="55"/>
      <c r="G199" s="55"/>
      <c r="H199" s="55"/>
      <c r="I199" s="55"/>
      <c r="U199" s="55"/>
      <c r="V199" s="55"/>
      <c r="W199" s="55"/>
      <c r="AC199" s="55"/>
      <c r="AD199" s="55"/>
    </row>
    <row r="200" spans="2:30" x14ac:dyDescent="0.2">
      <c r="B200" s="55"/>
      <c r="C200" s="55"/>
      <c r="D200" s="55"/>
      <c r="E200" s="55"/>
      <c r="F200" s="55"/>
      <c r="G200" s="55"/>
      <c r="H200" s="55"/>
      <c r="I200" s="55"/>
      <c r="U200" s="55"/>
      <c r="V200" s="55"/>
      <c r="W200" s="55"/>
      <c r="AC200" s="55"/>
    </row>
    <row r="201" spans="2:30" x14ac:dyDescent="0.2">
      <c r="B201" s="55"/>
      <c r="C201" s="55"/>
      <c r="D201" s="55"/>
      <c r="E201" s="55"/>
      <c r="F201" s="55"/>
      <c r="G201" s="55"/>
      <c r="H201" s="55"/>
      <c r="I201" s="55"/>
      <c r="U201" s="55"/>
      <c r="V201" s="55"/>
      <c r="W201" s="55"/>
      <c r="AC201" s="55"/>
    </row>
    <row r="202" spans="2:30" x14ac:dyDescent="0.2">
      <c r="B202" s="55"/>
      <c r="C202" s="55"/>
      <c r="D202" s="55"/>
      <c r="E202" s="55"/>
      <c r="F202" s="55"/>
      <c r="G202" s="55"/>
      <c r="H202" s="55"/>
      <c r="I202" s="55"/>
      <c r="U202" s="55"/>
      <c r="V202" s="55"/>
      <c r="W202" s="55"/>
      <c r="AC202" s="55"/>
    </row>
    <row r="203" spans="2:30" x14ac:dyDescent="0.2">
      <c r="B203" s="55"/>
      <c r="C203" s="55"/>
      <c r="D203" s="55"/>
      <c r="E203" s="55"/>
      <c r="F203" s="55"/>
      <c r="G203" s="55"/>
      <c r="H203" s="55"/>
      <c r="I203" s="55"/>
      <c r="U203" s="55"/>
      <c r="V203" s="55"/>
      <c r="W203" s="55"/>
      <c r="AC203" s="55"/>
    </row>
    <row r="204" spans="2:30" x14ac:dyDescent="0.2">
      <c r="B204" s="55"/>
      <c r="C204" s="55"/>
      <c r="D204" s="55"/>
      <c r="E204" s="55"/>
      <c r="F204" s="55"/>
      <c r="G204" s="55"/>
      <c r="H204" s="55"/>
      <c r="I204" s="55"/>
      <c r="U204" s="55"/>
      <c r="V204" s="55"/>
      <c r="W204" s="55"/>
      <c r="AC204" s="55"/>
    </row>
    <row r="205" spans="2:30" x14ac:dyDescent="0.2">
      <c r="B205" s="55"/>
      <c r="C205" s="55"/>
      <c r="D205" s="55"/>
      <c r="E205" s="55"/>
      <c r="F205" s="55"/>
      <c r="G205" s="55"/>
      <c r="H205" s="55"/>
      <c r="I205" s="55"/>
      <c r="U205" s="55"/>
      <c r="V205" s="55"/>
      <c r="W205" s="55"/>
      <c r="AC205" s="55"/>
    </row>
    <row r="206" spans="2:30" x14ac:dyDescent="0.2">
      <c r="B206" s="55"/>
      <c r="C206" s="55"/>
      <c r="D206" s="55"/>
      <c r="E206" s="55"/>
      <c r="F206" s="55"/>
      <c r="G206" s="55"/>
      <c r="H206" s="55"/>
      <c r="I206" s="55"/>
      <c r="U206" s="55"/>
      <c r="V206" s="55"/>
      <c r="W206" s="55"/>
      <c r="AC206" s="55"/>
    </row>
    <row r="207" spans="2:30" x14ac:dyDescent="0.2">
      <c r="B207" s="55"/>
      <c r="C207" s="55"/>
      <c r="D207" s="55"/>
      <c r="E207" s="55"/>
      <c r="F207" s="55"/>
      <c r="G207" s="55"/>
      <c r="H207" s="55"/>
      <c r="I207" s="55"/>
      <c r="U207" s="55"/>
      <c r="V207" s="55"/>
      <c r="W207" s="55"/>
      <c r="AC207" s="55"/>
    </row>
    <row r="208" spans="2:30" x14ac:dyDescent="0.2">
      <c r="B208" s="55"/>
      <c r="C208" s="55"/>
      <c r="D208" s="55"/>
      <c r="E208" s="55"/>
      <c r="F208" s="55"/>
      <c r="G208" s="55"/>
      <c r="H208" s="55"/>
      <c r="I208" s="55"/>
      <c r="U208" s="55"/>
      <c r="V208" s="55"/>
      <c r="W208" s="55"/>
      <c r="AC208" s="55"/>
    </row>
    <row r="209" spans="2:29" x14ac:dyDescent="0.2">
      <c r="B209" s="55"/>
      <c r="C209" s="55"/>
      <c r="D209" s="55"/>
      <c r="E209" s="55"/>
      <c r="F209" s="55"/>
      <c r="G209" s="55"/>
      <c r="H209" s="55"/>
      <c r="I209" s="55"/>
      <c r="U209" s="55"/>
      <c r="V209" s="55"/>
      <c r="W209" s="55"/>
      <c r="AC209" s="55"/>
    </row>
    <row r="210" spans="2:29" x14ac:dyDescent="0.2">
      <c r="B210" s="55"/>
      <c r="C210" s="55"/>
      <c r="D210" s="55"/>
      <c r="E210" s="55"/>
      <c r="F210" s="55"/>
      <c r="G210" s="55"/>
      <c r="H210" s="55"/>
      <c r="I210" s="55"/>
      <c r="U210" s="55"/>
      <c r="V210" s="55"/>
      <c r="W210" s="55"/>
      <c r="AC210" s="55"/>
    </row>
    <row r="211" spans="2:29" x14ac:dyDescent="0.2">
      <c r="B211" s="55"/>
      <c r="C211" s="55"/>
      <c r="D211" s="55"/>
      <c r="E211" s="55"/>
      <c r="F211" s="55"/>
      <c r="G211" s="55"/>
      <c r="H211" s="55"/>
      <c r="I211" s="55"/>
      <c r="U211" s="55"/>
      <c r="V211" s="55"/>
      <c r="W211" s="55"/>
      <c r="AC211" s="55"/>
    </row>
    <row r="212" spans="2:29" x14ac:dyDescent="0.2">
      <c r="B212" s="55"/>
      <c r="C212" s="55"/>
      <c r="D212" s="55"/>
      <c r="E212" s="55"/>
      <c r="F212" s="55"/>
      <c r="G212" s="55"/>
      <c r="H212" s="55"/>
      <c r="I212" s="55"/>
      <c r="U212" s="55"/>
      <c r="V212" s="55"/>
      <c r="W212" s="55"/>
      <c r="AC212" s="55"/>
    </row>
    <row r="213" spans="2:29" x14ac:dyDescent="0.2">
      <c r="B213" s="55"/>
      <c r="C213" s="55"/>
      <c r="D213" s="55"/>
      <c r="E213" s="55"/>
      <c r="F213" s="55"/>
      <c r="G213" s="55"/>
      <c r="H213" s="55"/>
      <c r="I213" s="55"/>
      <c r="U213" s="55"/>
      <c r="V213" s="55"/>
      <c r="W213" s="55"/>
      <c r="AC213" s="55"/>
    </row>
    <row r="214" spans="2:29" x14ac:dyDescent="0.2">
      <c r="B214" s="55"/>
      <c r="C214" s="55"/>
      <c r="D214" s="55"/>
      <c r="E214" s="55"/>
      <c r="F214" s="55"/>
      <c r="G214" s="55"/>
      <c r="H214" s="55"/>
      <c r="I214" s="55"/>
      <c r="U214" s="55"/>
      <c r="V214" s="55"/>
      <c r="W214" s="55"/>
      <c r="AC214" s="55"/>
    </row>
    <row r="215" spans="2:29" x14ac:dyDescent="0.2">
      <c r="B215" s="55"/>
      <c r="C215" s="55"/>
      <c r="D215" s="55"/>
      <c r="E215" s="55"/>
      <c r="F215" s="55"/>
      <c r="G215" s="55"/>
      <c r="H215" s="55"/>
      <c r="I215" s="55"/>
      <c r="U215" s="55"/>
      <c r="V215" s="55"/>
      <c r="W215" s="55"/>
      <c r="AC215" s="55"/>
    </row>
    <row r="216" spans="2:29" x14ac:dyDescent="0.2">
      <c r="B216" s="55"/>
      <c r="C216" s="55"/>
      <c r="D216" s="55"/>
      <c r="E216" s="55"/>
      <c r="F216" s="55"/>
      <c r="G216" s="55"/>
      <c r="H216" s="55"/>
      <c r="I216" s="55"/>
      <c r="U216" s="55"/>
      <c r="V216" s="55"/>
      <c r="W216" s="55"/>
      <c r="AC216" s="55"/>
    </row>
    <row r="217" spans="2:29" x14ac:dyDescent="0.2">
      <c r="B217" s="55"/>
      <c r="C217" s="55"/>
      <c r="D217" s="55"/>
      <c r="E217" s="55"/>
      <c r="F217" s="55"/>
      <c r="G217" s="55"/>
      <c r="H217" s="55"/>
      <c r="I217" s="55"/>
      <c r="U217" s="55"/>
      <c r="V217" s="55"/>
      <c r="W217" s="55"/>
      <c r="AC217" s="55"/>
    </row>
    <row r="218" spans="2:29" x14ac:dyDescent="0.2">
      <c r="B218" s="55"/>
      <c r="C218" s="55"/>
      <c r="D218" s="55"/>
      <c r="E218" s="55"/>
      <c r="F218" s="55"/>
      <c r="G218" s="55"/>
      <c r="H218" s="55"/>
      <c r="I218" s="55"/>
      <c r="U218" s="55"/>
      <c r="V218" s="55"/>
      <c r="W218" s="55"/>
    </row>
    <row r="219" spans="2:29" x14ac:dyDescent="0.2">
      <c r="B219" s="55"/>
      <c r="C219" s="55"/>
      <c r="D219" s="55"/>
      <c r="E219" s="55"/>
      <c r="F219" s="55"/>
      <c r="G219" s="55"/>
      <c r="H219" s="55"/>
      <c r="I219" s="55"/>
      <c r="U219" s="55"/>
      <c r="V219" s="55"/>
      <c r="W219" s="55"/>
    </row>
    <row r="220" spans="2:29" x14ac:dyDescent="0.2">
      <c r="B220" s="55"/>
      <c r="C220" s="55"/>
      <c r="D220" s="55"/>
      <c r="E220" s="55"/>
      <c r="F220" s="55"/>
      <c r="G220" s="55"/>
      <c r="H220" s="55"/>
      <c r="I220" s="55"/>
      <c r="U220" s="55"/>
      <c r="V220" s="55"/>
      <c r="W220" s="55"/>
    </row>
    <row r="221" spans="2:29" x14ac:dyDescent="0.2">
      <c r="B221" s="55"/>
      <c r="C221" s="55"/>
      <c r="D221" s="55"/>
      <c r="E221" s="55"/>
      <c r="F221" s="55"/>
      <c r="G221" s="55"/>
      <c r="H221" s="55"/>
      <c r="I221" s="55"/>
      <c r="U221" s="55"/>
      <c r="V221" s="55"/>
      <c r="W221" s="55"/>
    </row>
    <row r="222" spans="2:29" x14ac:dyDescent="0.2">
      <c r="B222" s="55"/>
      <c r="C222" s="55"/>
      <c r="D222" s="55"/>
      <c r="E222" s="55"/>
      <c r="F222" s="55"/>
      <c r="G222" s="55"/>
      <c r="H222" s="55"/>
      <c r="I222" s="55"/>
      <c r="U222" s="55"/>
      <c r="V222" s="55"/>
      <c r="W222" s="55"/>
    </row>
    <row r="223" spans="2:29" x14ac:dyDescent="0.2">
      <c r="B223" s="55"/>
      <c r="C223" s="55"/>
      <c r="D223" s="55"/>
      <c r="E223" s="55"/>
      <c r="F223" s="55"/>
      <c r="G223" s="55"/>
      <c r="H223" s="55"/>
      <c r="I223" s="55"/>
      <c r="U223" s="55"/>
      <c r="V223" s="55"/>
      <c r="W223" s="55"/>
    </row>
    <row r="224" spans="2:29" x14ac:dyDescent="0.2">
      <c r="B224" s="55"/>
      <c r="C224" s="55"/>
      <c r="D224" s="55"/>
      <c r="E224" s="55"/>
      <c r="F224" s="55"/>
      <c r="G224" s="55"/>
      <c r="H224" s="55"/>
      <c r="I224" s="55"/>
      <c r="U224" s="55"/>
      <c r="V224" s="55"/>
      <c r="W224" s="55"/>
    </row>
    <row r="225" spans="2:23" x14ac:dyDescent="0.2">
      <c r="B225" s="55"/>
      <c r="C225" s="55"/>
      <c r="D225" s="55"/>
      <c r="E225" s="55"/>
      <c r="F225" s="55"/>
      <c r="G225" s="55"/>
      <c r="H225" s="55"/>
      <c r="I225" s="55"/>
      <c r="U225" s="55"/>
      <c r="V225" s="55"/>
      <c r="W225" s="55"/>
    </row>
    <row r="226" spans="2:23" x14ac:dyDescent="0.2">
      <c r="B226" s="55"/>
      <c r="C226" s="55"/>
      <c r="D226" s="55"/>
      <c r="E226" s="55"/>
      <c r="F226" s="55"/>
      <c r="G226" s="55"/>
      <c r="H226" s="55"/>
      <c r="I226" s="55"/>
      <c r="U226" s="55"/>
      <c r="V226" s="55"/>
      <c r="W226" s="55"/>
    </row>
    <row r="227" spans="2:23" x14ac:dyDescent="0.2">
      <c r="B227" s="55"/>
      <c r="C227" s="55"/>
      <c r="D227" s="55"/>
      <c r="E227" s="55"/>
      <c r="F227" s="55"/>
      <c r="G227" s="55"/>
      <c r="H227" s="55"/>
      <c r="I227" s="55"/>
      <c r="U227" s="55"/>
      <c r="V227" s="55"/>
      <c r="W227" s="55"/>
    </row>
    <row r="228" spans="2:23" x14ac:dyDescent="0.2">
      <c r="B228" s="55"/>
      <c r="C228" s="55"/>
      <c r="D228" s="55"/>
      <c r="E228" s="55"/>
      <c r="F228" s="55"/>
      <c r="G228" s="55"/>
      <c r="H228" s="55"/>
      <c r="I228" s="55"/>
      <c r="U228" s="55"/>
      <c r="V228" s="55"/>
      <c r="W228" s="55"/>
    </row>
    <row r="229" spans="2:23" x14ac:dyDescent="0.2">
      <c r="B229" s="55"/>
      <c r="C229" s="55"/>
      <c r="D229" s="55"/>
      <c r="E229" s="55"/>
      <c r="F229" s="55"/>
      <c r="G229" s="55"/>
      <c r="H229" s="55"/>
      <c r="I229" s="55"/>
      <c r="U229" s="55"/>
      <c r="V229" s="55"/>
      <c r="W229" s="55"/>
    </row>
    <row r="230" spans="2:23" x14ac:dyDescent="0.2">
      <c r="B230" s="55"/>
      <c r="C230" s="55"/>
      <c r="D230" s="55"/>
      <c r="E230" s="55"/>
      <c r="F230" s="55"/>
      <c r="G230" s="55"/>
      <c r="H230" s="55"/>
      <c r="I230" s="55"/>
      <c r="U230" s="55"/>
      <c r="V230" s="55"/>
      <c r="W230" s="55"/>
    </row>
    <row r="231" spans="2:23" x14ac:dyDescent="0.2">
      <c r="B231" s="55"/>
      <c r="C231" s="55"/>
      <c r="D231" s="55"/>
      <c r="E231" s="55"/>
      <c r="F231" s="55"/>
      <c r="G231" s="55"/>
      <c r="H231" s="55"/>
      <c r="I231" s="55"/>
      <c r="U231" s="55"/>
      <c r="V231" s="55"/>
      <c r="W231" s="55"/>
    </row>
    <row r="232" spans="2:23" x14ac:dyDescent="0.2">
      <c r="B232" s="55"/>
      <c r="C232" s="55"/>
      <c r="D232" s="55"/>
      <c r="E232" s="55"/>
      <c r="F232" s="55"/>
      <c r="G232" s="55"/>
      <c r="H232" s="55"/>
      <c r="I232" s="55"/>
      <c r="U232" s="55"/>
      <c r="V232" s="55"/>
      <c r="W232" s="55"/>
    </row>
    <row r="233" spans="2:23" x14ac:dyDescent="0.2">
      <c r="B233" s="55"/>
      <c r="C233" s="55"/>
      <c r="D233" s="55"/>
      <c r="E233" s="55"/>
      <c r="G233" s="55"/>
      <c r="H233" s="55"/>
      <c r="I233" s="55"/>
      <c r="U233" s="55"/>
      <c r="V233" s="55"/>
      <c r="W233" s="55"/>
    </row>
    <row r="234" spans="2:23" x14ac:dyDescent="0.2">
      <c r="B234" s="55"/>
      <c r="C234" s="55"/>
      <c r="D234" s="55"/>
      <c r="E234" s="55"/>
      <c r="G234" s="55"/>
      <c r="H234" s="55"/>
      <c r="I234" s="55"/>
      <c r="U234" s="55"/>
      <c r="V234" s="55"/>
      <c r="W234" s="55"/>
    </row>
    <row r="235" spans="2:23" x14ac:dyDescent="0.2">
      <c r="B235" s="55"/>
      <c r="C235" s="55"/>
      <c r="D235" s="55"/>
      <c r="E235" s="55"/>
      <c r="G235" s="55"/>
      <c r="H235" s="55"/>
      <c r="I235" s="55"/>
      <c r="U235" s="55"/>
      <c r="V235" s="55"/>
      <c r="W235" s="55"/>
    </row>
    <row r="236" spans="2:23" x14ac:dyDescent="0.2">
      <c r="B236" s="55"/>
      <c r="C236" s="55"/>
      <c r="D236" s="55"/>
      <c r="E236" s="55"/>
      <c r="G236" s="55"/>
      <c r="H236" s="55"/>
      <c r="I236" s="55"/>
      <c r="U236" s="55"/>
      <c r="V236" s="55"/>
      <c r="W236" s="55"/>
    </row>
    <row r="237" spans="2:23" x14ac:dyDescent="0.2">
      <c r="B237" s="55"/>
      <c r="C237" s="55"/>
      <c r="D237" s="55"/>
      <c r="E237" s="55"/>
      <c r="G237" s="55"/>
      <c r="H237" s="55"/>
      <c r="I237" s="55"/>
      <c r="U237" s="55"/>
      <c r="V237" s="55"/>
      <c r="W237" s="55"/>
    </row>
    <row r="238" spans="2:23" x14ac:dyDescent="0.2">
      <c r="B238" s="55"/>
      <c r="C238" s="55"/>
      <c r="D238" s="55"/>
      <c r="E238" s="55"/>
      <c r="G238" s="55"/>
      <c r="H238" s="55"/>
      <c r="I238" s="55"/>
      <c r="U238" s="55"/>
      <c r="V238" s="55"/>
      <c r="W238" s="55"/>
    </row>
    <row r="239" spans="2:23" x14ac:dyDescent="0.2">
      <c r="B239" s="55"/>
      <c r="G239" s="55"/>
      <c r="H239" s="55"/>
      <c r="I239" s="55"/>
      <c r="U239" s="55"/>
      <c r="V239" s="55"/>
      <c r="W239" s="55"/>
    </row>
    <row r="240" spans="2:23" x14ac:dyDescent="0.2">
      <c r="B240" s="55"/>
      <c r="G240" s="55"/>
      <c r="H240" s="55"/>
      <c r="I240" s="55"/>
    </row>
    <row r="241" spans="2:9" x14ac:dyDescent="0.2">
      <c r="B241" s="55"/>
      <c r="G241" s="55"/>
      <c r="H241" s="55"/>
      <c r="I241" s="55"/>
    </row>
    <row r="242" spans="2:9" x14ac:dyDescent="0.2">
      <c r="B242" s="55"/>
      <c r="G242" s="55"/>
      <c r="H242" s="55"/>
      <c r="I242" s="55"/>
    </row>
    <row r="243" spans="2:9" x14ac:dyDescent="0.2">
      <c r="G243" s="55"/>
      <c r="H243" s="55"/>
      <c r="I243" s="55"/>
    </row>
    <row r="244" spans="2:9" x14ac:dyDescent="0.2">
      <c r="G244" s="55"/>
      <c r="H244" s="55"/>
      <c r="I244" s="55"/>
    </row>
    <row r="245" spans="2:9" x14ac:dyDescent="0.2">
      <c r="G245" s="55"/>
      <c r="H245" s="55"/>
      <c r="I245" s="55"/>
    </row>
    <row r="246" spans="2:9" x14ac:dyDescent="0.2">
      <c r="G246" s="55"/>
      <c r="H246" s="55"/>
      <c r="I246" s="55"/>
    </row>
    <row r="247" spans="2:9" x14ac:dyDescent="0.2">
      <c r="G247" s="55"/>
      <c r="H247" s="55"/>
      <c r="I247" s="55"/>
    </row>
    <row r="248" spans="2:9" x14ac:dyDescent="0.2">
      <c r="G248" s="55"/>
      <c r="H248" s="55"/>
      <c r="I248" s="55"/>
    </row>
    <row r="249" spans="2:9" x14ac:dyDescent="0.2">
      <c r="G249" s="55"/>
      <c r="H249" s="55"/>
      <c r="I249" s="55"/>
    </row>
    <row r="250" spans="2:9" x14ac:dyDescent="0.2">
      <c r="G250" s="55"/>
      <c r="H250" s="55"/>
      <c r="I250" s="55"/>
    </row>
    <row r="251" spans="2:9" x14ac:dyDescent="0.2">
      <c r="G251" s="55"/>
      <c r="H251" s="55"/>
      <c r="I251" s="55"/>
    </row>
    <row r="252" spans="2:9" x14ac:dyDescent="0.2">
      <c r="G252" s="55"/>
      <c r="H252" s="55"/>
      <c r="I252" s="55"/>
    </row>
    <row r="253" spans="2:9" x14ac:dyDescent="0.2">
      <c r="G253" s="55"/>
      <c r="H253" s="55"/>
      <c r="I253" s="55"/>
    </row>
    <row r="254" spans="2:9" x14ac:dyDescent="0.2">
      <c r="G254" s="55"/>
      <c r="H254" s="55"/>
      <c r="I254" s="55"/>
    </row>
    <row r="255" spans="2:9" x14ac:dyDescent="0.2">
      <c r="G255" s="55"/>
      <c r="H255" s="55"/>
      <c r="I255" s="55"/>
    </row>
    <row r="256" spans="2:9" x14ac:dyDescent="0.2">
      <c r="G256" s="55"/>
      <c r="H256" s="55"/>
      <c r="I256" s="55"/>
    </row>
    <row r="257" spans="7:9" x14ac:dyDescent="0.2">
      <c r="G257" s="55"/>
      <c r="H257" s="55"/>
      <c r="I257" s="55"/>
    </row>
    <row r="258" spans="7:9" x14ac:dyDescent="0.2">
      <c r="G258" s="55"/>
      <c r="H258" s="55"/>
      <c r="I258" s="55"/>
    </row>
    <row r="259" spans="7:9" x14ac:dyDescent="0.2">
      <c r="G259" s="55"/>
      <c r="H259" s="55"/>
      <c r="I259" s="55"/>
    </row>
    <row r="260" spans="7:9" x14ac:dyDescent="0.2">
      <c r="G260" s="55"/>
      <c r="H260" s="55"/>
      <c r="I260" s="55"/>
    </row>
    <row r="261" spans="7:9" x14ac:dyDescent="0.2">
      <c r="G261" s="55"/>
      <c r="H261" s="55"/>
      <c r="I261" s="55"/>
    </row>
    <row r="262" spans="7:9" x14ac:dyDescent="0.2">
      <c r="G262" s="55"/>
      <c r="H262" s="55"/>
      <c r="I262" s="55"/>
    </row>
    <row r="263" spans="7:9" x14ac:dyDescent="0.2">
      <c r="G263" s="55"/>
      <c r="H263" s="55"/>
      <c r="I263" s="55"/>
    </row>
    <row r="264" spans="7:9" x14ac:dyDescent="0.2">
      <c r="G264" s="55"/>
      <c r="H264" s="55"/>
      <c r="I264" s="55"/>
    </row>
    <row r="265" spans="7:9" x14ac:dyDescent="0.2">
      <c r="G265" s="55"/>
      <c r="H265" s="55"/>
      <c r="I265" s="55"/>
    </row>
    <row r="266" spans="7:9" x14ac:dyDescent="0.2">
      <c r="G266" s="55"/>
      <c r="H266" s="55"/>
      <c r="I266" s="55"/>
    </row>
    <row r="267" spans="7:9" x14ac:dyDescent="0.2">
      <c r="G267" s="55"/>
      <c r="H267" s="55"/>
      <c r="I267" s="55"/>
    </row>
    <row r="268" spans="7:9" x14ac:dyDescent="0.2">
      <c r="G268" s="55"/>
      <c r="H268" s="55"/>
      <c r="I268" s="55"/>
    </row>
    <row r="269" spans="7:9" x14ac:dyDescent="0.2">
      <c r="G269" s="55"/>
      <c r="H269" s="55"/>
      <c r="I269" s="55"/>
    </row>
    <row r="270" spans="7:9" x14ac:dyDescent="0.2">
      <c r="G270" s="55"/>
      <c r="H270" s="55"/>
      <c r="I270" s="55"/>
    </row>
    <row r="271" spans="7:9" x14ac:dyDescent="0.2">
      <c r="G271" s="55"/>
      <c r="H271" s="55"/>
      <c r="I271" s="55"/>
    </row>
    <row r="272" spans="7:9" x14ac:dyDescent="0.2">
      <c r="H272" s="55"/>
      <c r="I272" s="55"/>
    </row>
    <row r="273" spans="8:9" x14ac:dyDescent="0.2">
      <c r="H273" s="55"/>
      <c r="I273" s="55"/>
    </row>
    <row r="274" spans="8:9" x14ac:dyDescent="0.2">
      <c r="H274" s="55"/>
      <c r="I274" s="55"/>
    </row>
  </sheetData>
  <mergeCells count="3">
    <mergeCell ref="B40:C40"/>
    <mergeCell ref="A55:F55"/>
    <mergeCell ref="C3:E3"/>
  </mergeCells>
  <phoneticPr fontId="13" type="noConversion"/>
  <printOptions gridLines="1" gridLinesSet="0"/>
  <pageMargins left="0.75" right="0.75" top="1" bottom="1" header="0.5" footer="0.5"/>
  <pageSetup orientation="landscape" horizontalDpi="300" r:id="rId1"/>
  <headerFooter alignWithMargins="0">
    <oddHeader>&amp;A</oddHeader>
    <oddFoote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Drop Down 2">
              <controlPr defaultSize="0" autoLine="0" autoPict="0">
                <anchor moveWithCells="1">
                  <from>
                    <xdr:col>1</xdr:col>
                    <xdr:colOff>257175</xdr:colOff>
                    <xdr:row>38</xdr:row>
                    <xdr:rowOff>171450</xdr:rowOff>
                  </from>
                  <to>
                    <xdr:col>2</xdr:col>
                    <xdr:colOff>419100</xdr:colOff>
                    <xdr:row>40</xdr:row>
                    <xdr:rowOff>0</xdr:rowOff>
                  </to>
                </anchor>
              </controlPr>
            </control>
          </mc:Choice>
        </mc:AlternateContent>
        <mc:AlternateContent xmlns:mc="http://schemas.openxmlformats.org/markup-compatibility/2006">
          <mc:Choice Requires="x14">
            <control shapeId="3075" r:id="rId5" name="Drop Down 3">
              <controlPr defaultSize="0" autoLine="0" autoPict="0">
                <anchor moveWithCells="1">
                  <from>
                    <xdr:col>1</xdr:col>
                    <xdr:colOff>257175</xdr:colOff>
                    <xdr:row>38</xdr:row>
                    <xdr:rowOff>171450</xdr:rowOff>
                  </from>
                  <to>
                    <xdr:col>2</xdr:col>
                    <xdr:colOff>419100</xdr:colOff>
                    <xdr:row>40</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P101"/>
  <sheetViews>
    <sheetView topLeftCell="A14" zoomScale="75" workbookViewId="0">
      <selection activeCell="N35" sqref="N35:P101"/>
    </sheetView>
  </sheetViews>
  <sheetFormatPr defaultRowHeight="12.75" x14ac:dyDescent="0.2"/>
  <cols>
    <col min="1" max="1" width="18.85546875" customWidth="1"/>
    <col min="2" max="2" width="15.5703125" customWidth="1"/>
    <col min="3" max="3" width="18" customWidth="1"/>
    <col min="4" max="4" width="9.28515625" bestFit="1" customWidth="1"/>
    <col min="5" max="5" width="12.42578125" bestFit="1" customWidth="1"/>
    <col min="6" max="7" width="9.28515625" bestFit="1" customWidth="1"/>
    <col min="8" max="8" width="15" customWidth="1"/>
    <col min="9" max="9" width="13.5703125" customWidth="1"/>
  </cols>
  <sheetData>
    <row r="1" spans="1:9" x14ac:dyDescent="0.2">
      <c r="A1" t="s">
        <v>174</v>
      </c>
    </row>
    <row r="2" spans="1:9" ht="13.5" thickBot="1" x14ac:dyDescent="0.25"/>
    <row r="3" spans="1:9" x14ac:dyDescent="0.2">
      <c r="A3" s="136" t="s">
        <v>175</v>
      </c>
      <c r="B3" s="136"/>
    </row>
    <row r="4" spans="1:9" x14ac:dyDescent="0.2">
      <c r="A4" s="133" t="s">
        <v>176</v>
      </c>
      <c r="B4" s="133">
        <v>0.99469986975849511</v>
      </c>
    </row>
    <row r="5" spans="1:9" x14ac:dyDescent="0.2">
      <c r="A5" s="133" t="s">
        <v>177</v>
      </c>
      <c r="B5" s="133">
        <v>0.98942783089756714</v>
      </c>
    </row>
    <row r="6" spans="1:9" x14ac:dyDescent="0.2">
      <c r="A6" s="133" t="s">
        <v>178</v>
      </c>
      <c r="B6" s="133">
        <v>-1.5</v>
      </c>
    </row>
    <row r="7" spans="1:9" x14ac:dyDescent="0.2">
      <c r="A7" s="133" t="s">
        <v>179</v>
      </c>
      <c r="B7" s="133">
        <v>1.8171518418466096E-2</v>
      </c>
    </row>
    <row r="8" spans="1:9" ht="13.5" thickBot="1" x14ac:dyDescent="0.25">
      <c r="A8" s="134" t="s">
        <v>180</v>
      </c>
      <c r="B8" s="134">
        <v>1</v>
      </c>
    </row>
    <row r="10" spans="1:9" ht="13.5" thickBot="1" x14ac:dyDescent="0.25">
      <c r="A10" t="s">
        <v>181</v>
      </c>
    </row>
    <row r="11" spans="1:9" x14ac:dyDescent="0.2">
      <c r="A11" s="135"/>
      <c r="B11" s="135" t="s">
        <v>185</v>
      </c>
      <c r="C11" s="135" t="s">
        <v>186</v>
      </c>
      <c r="D11" s="135" t="s">
        <v>187</v>
      </c>
      <c r="E11" s="135" t="s">
        <v>188</v>
      </c>
      <c r="F11" s="135" t="s">
        <v>189</v>
      </c>
    </row>
    <row r="12" spans="1:9" x14ac:dyDescent="0.2">
      <c r="A12" s="133" t="s">
        <v>182</v>
      </c>
      <c r="B12" s="133">
        <v>6</v>
      </c>
      <c r="C12" s="133">
        <v>0.12361251700680273</v>
      </c>
      <c r="D12" s="133">
        <v>2.0602086167800456E-2</v>
      </c>
      <c r="E12" s="133">
        <v>374.35187474248107</v>
      </c>
      <c r="F12" s="133" t="e">
        <v>#NUM!</v>
      </c>
    </row>
    <row r="13" spans="1:9" x14ac:dyDescent="0.2">
      <c r="A13" s="133" t="s">
        <v>183</v>
      </c>
      <c r="B13" s="133">
        <v>4</v>
      </c>
      <c r="C13" s="133">
        <v>1.3208163265306101E-3</v>
      </c>
      <c r="D13" s="133">
        <v>3.3020408163265253E-4</v>
      </c>
      <c r="E13" s="133"/>
      <c r="F13" s="133"/>
    </row>
    <row r="14" spans="1:9" ht="13.5" thickBot="1" x14ac:dyDescent="0.25">
      <c r="A14" s="134" t="s">
        <v>7</v>
      </c>
      <c r="B14" s="134">
        <v>10</v>
      </c>
      <c r="C14" s="134">
        <v>0.12493333333333334</v>
      </c>
      <c r="D14" s="134"/>
      <c r="E14" s="134"/>
      <c r="F14" s="134"/>
    </row>
    <row r="15" spans="1:9" ht="13.5" thickBot="1" x14ac:dyDescent="0.25"/>
    <row r="16" spans="1:9" x14ac:dyDescent="0.2">
      <c r="A16" s="135"/>
      <c r="B16" s="135" t="s">
        <v>190</v>
      </c>
      <c r="C16" s="135" t="s">
        <v>179</v>
      </c>
      <c r="D16" s="135" t="s">
        <v>191</v>
      </c>
      <c r="E16" s="135" t="s">
        <v>192</v>
      </c>
      <c r="F16" s="135" t="s">
        <v>193</v>
      </c>
      <c r="G16" s="135" t="s">
        <v>194</v>
      </c>
      <c r="H16" s="135" t="s">
        <v>195</v>
      </c>
      <c r="I16" s="135" t="s">
        <v>196</v>
      </c>
    </row>
    <row r="17" spans="1:9" x14ac:dyDescent="0.2">
      <c r="A17" s="133" t="s">
        <v>184</v>
      </c>
      <c r="B17" s="133"/>
      <c r="C17" s="133"/>
      <c r="D17" s="133"/>
      <c r="E17" s="133"/>
      <c r="F17" s="133"/>
      <c r="G17" s="133"/>
      <c r="H17" s="133">
        <v>0</v>
      </c>
      <c r="I17" s="133">
        <v>0</v>
      </c>
    </row>
    <row r="18" spans="1:9" x14ac:dyDescent="0.2">
      <c r="A18" s="133" t="s">
        <v>197</v>
      </c>
      <c r="B18" s="133"/>
      <c r="C18" s="133"/>
      <c r="D18" s="133"/>
      <c r="E18" s="133"/>
      <c r="F18" s="133"/>
      <c r="G18" s="133"/>
      <c r="H18" s="133">
        <v>-6.9245105114242061E-2</v>
      </c>
      <c r="I18" s="133">
        <v>0.14720428878688882</v>
      </c>
    </row>
    <row r="19" spans="1:9" x14ac:dyDescent="0.2">
      <c r="A19" s="133" t="s">
        <v>198</v>
      </c>
      <c r="B19" s="133"/>
      <c r="C19" s="133"/>
      <c r="D19" s="133"/>
      <c r="E19" s="133"/>
      <c r="F19" s="133"/>
      <c r="G19" s="133"/>
      <c r="H19" s="133">
        <v>-1.2083295085498869E-273</v>
      </c>
      <c r="I19" s="133">
        <v>2.568670398493589E-273</v>
      </c>
    </row>
    <row r="20" spans="1:9" x14ac:dyDescent="0.2">
      <c r="A20" s="133" t="s">
        <v>199</v>
      </c>
      <c r="B20" s="133"/>
      <c r="C20" s="133"/>
      <c r="D20" s="133"/>
      <c r="E20" s="133"/>
      <c r="F20" s="133"/>
      <c r="G20" s="133"/>
      <c r="H20" s="133">
        <v>3.1054633390746009E+257</v>
      </c>
      <c r="I20" s="133">
        <v>-3.1054633390746009E+257</v>
      </c>
    </row>
    <row r="21" spans="1:9" x14ac:dyDescent="0.2">
      <c r="A21" s="133" t="s">
        <v>200</v>
      </c>
      <c r="B21" s="133"/>
      <c r="C21" s="133"/>
      <c r="D21" s="133"/>
      <c r="E21" s="133"/>
      <c r="F21" s="133"/>
      <c r="G21" s="133"/>
      <c r="H21" s="133">
        <v>-6.7115875934739155E+179</v>
      </c>
      <c r="I21" s="133">
        <v>-6.7115875934739155E+179</v>
      </c>
    </row>
    <row r="22" spans="1:9" x14ac:dyDescent="0.2">
      <c r="A22" s="133" t="s">
        <v>201</v>
      </c>
      <c r="B22" s="133">
        <v>3.8979591836734717E-2</v>
      </c>
      <c r="C22" s="133">
        <v>2.710231743158565E-2</v>
      </c>
      <c r="D22" s="133">
        <v>1.4382383327599515</v>
      </c>
      <c r="E22" s="133">
        <v>0.22375279364863465</v>
      </c>
      <c r="F22" s="133">
        <v>-3.626850473153459E-2</v>
      </c>
      <c r="G22" s="133">
        <v>0.11422768840500402</v>
      </c>
      <c r="H22" s="133">
        <v>-3.626850473153459E-2</v>
      </c>
      <c r="I22" s="133">
        <v>0.11422768840500402</v>
      </c>
    </row>
    <row r="23" spans="1:9" ht="13.5" thickBot="1" x14ac:dyDescent="0.25">
      <c r="A23" s="134" t="s">
        <v>202</v>
      </c>
      <c r="B23" s="134">
        <v>2.7510204081632652E-2</v>
      </c>
      <c r="C23" s="134">
        <v>1.4218500774163547E-3</v>
      </c>
      <c r="D23" s="134">
        <v>19.348174971879928</v>
      </c>
      <c r="E23" s="134">
        <v>4.2062626874010022E-5</v>
      </c>
      <c r="F23" s="134">
        <v>2.3562515394083862E-2</v>
      </c>
      <c r="G23" s="134">
        <v>3.1457892769181442E-2</v>
      </c>
      <c r="H23" s="134">
        <v>2.3562515394083862E-2</v>
      </c>
      <c r="I23" s="134">
        <v>3.1457892769181442E-2</v>
      </c>
    </row>
    <row r="35" spans="14:16" x14ac:dyDescent="0.2">
      <c r="O35" t="s">
        <v>302</v>
      </c>
      <c r="P35" t="s">
        <v>303</v>
      </c>
    </row>
    <row r="36" spans="14:16" x14ac:dyDescent="0.2">
      <c r="N36" t="s">
        <v>225</v>
      </c>
      <c r="O36">
        <v>91</v>
      </c>
      <c r="P36">
        <v>-10</v>
      </c>
    </row>
    <row r="37" spans="14:16" x14ac:dyDescent="0.2">
      <c r="N37" t="s">
        <v>226</v>
      </c>
      <c r="O37">
        <v>87</v>
      </c>
      <c r="P37">
        <v>-14</v>
      </c>
    </row>
    <row r="38" spans="14:16" x14ac:dyDescent="0.2">
      <c r="N38" t="s">
        <v>227</v>
      </c>
      <c r="O38">
        <v>83</v>
      </c>
      <c r="P38">
        <v>-17</v>
      </c>
    </row>
    <row r="39" spans="14:16" x14ac:dyDescent="0.2">
      <c r="N39" t="s">
        <v>228</v>
      </c>
      <c r="O39">
        <v>85</v>
      </c>
      <c r="P39">
        <v>-20</v>
      </c>
    </row>
    <row r="40" spans="14:16" x14ac:dyDescent="0.2">
      <c r="N40" t="s">
        <v>229</v>
      </c>
      <c r="O40">
        <v>89</v>
      </c>
      <c r="P40">
        <v>-18</v>
      </c>
    </row>
    <row r="41" spans="14:16" x14ac:dyDescent="0.2">
      <c r="N41" t="s">
        <v>230</v>
      </c>
      <c r="O41">
        <v>92</v>
      </c>
      <c r="P41">
        <v>-13</v>
      </c>
    </row>
    <row r="42" spans="14:16" x14ac:dyDescent="0.2">
      <c r="N42" t="s">
        <v>231</v>
      </c>
      <c r="O42">
        <v>88</v>
      </c>
      <c r="P42">
        <v>-15</v>
      </c>
    </row>
    <row r="43" spans="14:16" x14ac:dyDescent="0.2">
      <c r="N43" t="s">
        <v>232</v>
      </c>
      <c r="O43">
        <v>90</v>
      </c>
      <c r="P43">
        <v>-11</v>
      </c>
    </row>
    <row r="44" spans="14:16" x14ac:dyDescent="0.2">
      <c r="N44" t="s">
        <v>233</v>
      </c>
      <c r="O44">
        <v>88</v>
      </c>
      <c r="P44">
        <v>-16</v>
      </c>
    </row>
    <row r="45" spans="14:16" x14ac:dyDescent="0.2">
      <c r="N45" t="s">
        <v>234</v>
      </c>
      <c r="O45">
        <v>87</v>
      </c>
      <c r="P45">
        <v>-7</v>
      </c>
    </row>
    <row r="46" spans="14:16" x14ac:dyDescent="0.2">
      <c r="N46" t="s">
        <v>235</v>
      </c>
      <c r="O46">
        <v>87</v>
      </c>
      <c r="P46">
        <v>-16</v>
      </c>
    </row>
    <row r="47" spans="14:16" x14ac:dyDescent="0.2">
      <c r="N47" t="s">
        <v>236</v>
      </c>
      <c r="O47">
        <v>87</v>
      </c>
      <c r="P47">
        <v>-14</v>
      </c>
    </row>
    <row r="54" spans="14:16" x14ac:dyDescent="0.2">
      <c r="O54" t="s">
        <v>302</v>
      </c>
      <c r="P54" t="s">
        <v>303</v>
      </c>
    </row>
    <row r="55" spans="14:16" x14ac:dyDescent="0.2">
      <c r="N55" t="s">
        <v>82</v>
      </c>
      <c r="O55">
        <v>94</v>
      </c>
      <c r="P55">
        <v>10</v>
      </c>
    </row>
    <row r="56" spans="14:16" x14ac:dyDescent="0.2">
      <c r="N56" t="s">
        <v>237</v>
      </c>
      <c r="O56">
        <v>95</v>
      </c>
      <c r="P56">
        <v>2</v>
      </c>
    </row>
    <row r="57" spans="14:16" x14ac:dyDescent="0.2">
      <c r="N57" t="s">
        <v>238</v>
      </c>
      <c r="O57">
        <v>86</v>
      </c>
      <c r="P57">
        <v>-1</v>
      </c>
    </row>
    <row r="58" spans="14:16" x14ac:dyDescent="0.2">
      <c r="N58" t="s">
        <v>243</v>
      </c>
      <c r="O58">
        <v>87</v>
      </c>
      <c r="P58">
        <v>-6</v>
      </c>
    </row>
    <row r="59" spans="14:16" x14ac:dyDescent="0.2">
      <c r="N59" t="s">
        <v>235</v>
      </c>
      <c r="O59">
        <v>93</v>
      </c>
      <c r="P59">
        <v>6</v>
      </c>
    </row>
    <row r="60" spans="14:16" x14ac:dyDescent="0.2">
      <c r="N60" t="s">
        <v>239</v>
      </c>
      <c r="O60">
        <v>87</v>
      </c>
      <c r="P60">
        <v>0</v>
      </c>
    </row>
    <row r="61" spans="14:16" x14ac:dyDescent="0.2">
      <c r="N61" t="s">
        <v>240</v>
      </c>
      <c r="O61">
        <v>97</v>
      </c>
      <c r="P61">
        <v>12</v>
      </c>
    </row>
    <row r="62" spans="14:16" x14ac:dyDescent="0.2">
      <c r="N62" t="s">
        <v>241</v>
      </c>
      <c r="O62">
        <v>91</v>
      </c>
      <c r="P62">
        <v>-1</v>
      </c>
    </row>
    <row r="63" spans="14:16" x14ac:dyDescent="0.2">
      <c r="N63" t="s">
        <v>242</v>
      </c>
      <c r="O63">
        <v>95</v>
      </c>
      <c r="P63">
        <v>2</v>
      </c>
    </row>
    <row r="67" spans="14:16" x14ac:dyDescent="0.2">
      <c r="O67" t="s">
        <v>302</v>
      </c>
      <c r="P67" t="s">
        <v>303</v>
      </c>
    </row>
    <row r="68" spans="14:16" x14ac:dyDescent="0.2">
      <c r="N68" t="s">
        <v>244</v>
      </c>
      <c r="O68">
        <v>89</v>
      </c>
      <c r="P68">
        <v>22</v>
      </c>
    </row>
    <row r="69" spans="14:16" x14ac:dyDescent="0.2">
      <c r="N69" t="s">
        <v>245</v>
      </c>
      <c r="O69">
        <v>71</v>
      </c>
      <c r="P69">
        <v>29</v>
      </c>
    </row>
    <row r="70" spans="14:16" x14ac:dyDescent="0.2">
      <c r="N70" t="s">
        <v>246</v>
      </c>
      <c r="O70">
        <v>89</v>
      </c>
      <c r="P70">
        <v>6</v>
      </c>
    </row>
    <row r="71" spans="14:16" x14ac:dyDescent="0.2">
      <c r="N71" t="s">
        <v>247</v>
      </c>
      <c r="O71">
        <v>87</v>
      </c>
      <c r="P71">
        <v>4</v>
      </c>
    </row>
    <row r="72" spans="14:16" x14ac:dyDescent="0.2">
      <c r="N72" t="s">
        <v>248</v>
      </c>
      <c r="O72">
        <v>89</v>
      </c>
      <c r="P72">
        <v>22</v>
      </c>
    </row>
    <row r="73" spans="14:16" x14ac:dyDescent="0.2">
      <c r="N73" t="s">
        <v>249</v>
      </c>
      <c r="O73">
        <v>89</v>
      </c>
      <c r="P73">
        <v>22</v>
      </c>
    </row>
    <row r="74" spans="14:16" x14ac:dyDescent="0.2">
      <c r="N74" t="s">
        <v>250</v>
      </c>
      <c r="O74">
        <v>96</v>
      </c>
      <c r="P74">
        <v>24</v>
      </c>
    </row>
    <row r="75" spans="14:16" x14ac:dyDescent="0.2">
      <c r="N75" t="s">
        <v>251</v>
      </c>
      <c r="O75">
        <v>87</v>
      </c>
      <c r="P75">
        <v>9</v>
      </c>
    </row>
    <row r="76" spans="14:16" x14ac:dyDescent="0.2">
      <c r="N76" t="s">
        <v>252</v>
      </c>
      <c r="O76">
        <v>94</v>
      </c>
      <c r="P76">
        <v>23</v>
      </c>
    </row>
    <row r="77" spans="14:16" x14ac:dyDescent="0.2">
      <c r="N77" t="s">
        <v>253</v>
      </c>
      <c r="O77">
        <v>93</v>
      </c>
      <c r="P77">
        <v>5</v>
      </c>
    </row>
    <row r="78" spans="14:16" x14ac:dyDescent="0.2">
      <c r="N78" t="s">
        <v>80</v>
      </c>
      <c r="O78">
        <v>85</v>
      </c>
      <c r="P78">
        <v>23</v>
      </c>
    </row>
    <row r="79" spans="14:16" x14ac:dyDescent="0.2">
      <c r="N79" t="s">
        <v>254</v>
      </c>
      <c r="O79">
        <v>90</v>
      </c>
      <c r="P79">
        <v>23</v>
      </c>
    </row>
    <row r="80" spans="14:16" x14ac:dyDescent="0.2">
      <c r="N80" t="s">
        <v>255</v>
      </c>
      <c r="O80">
        <v>88</v>
      </c>
      <c r="P80">
        <v>23</v>
      </c>
    </row>
    <row r="81" spans="14:16" x14ac:dyDescent="0.2">
      <c r="N81" t="s">
        <v>256</v>
      </c>
      <c r="O81">
        <v>89</v>
      </c>
      <c r="P81">
        <v>19</v>
      </c>
    </row>
    <row r="85" spans="14:16" x14ac:dyDescent="0.2">
      <c r="O85" t="s">
        <v>302</v>
      </c>
      <c r="P85" t="s">
        <v>303</v>
      </c>
    </row>
    <row r="86" spans="14:16" x14ac:dyDescent="0.2">
      <c r="N86" t="s">
        <v>257</v>
      </c>
      <c r="O86">
        <v>77</v>
      </c>
      <c r="P86">
        <v>28</v>
      </c>
    </row>
    <row r="87" spans="14:16" x14ac:dyDescent="0.2">
      <c r="N87" t="s">
        <v>258</v>
      </c>
      <c r="O87">
        <v>77</v>
      </c>
      <c r="P87">
        <v>15</v>
      </c>
    </row>
    <row r="88" spans="14:16" x14ac:dyDescent="0.2">
      <c r="N88" t="s">
        <v>259</v>
      </c>
      <c r="O88">
        <v>78</v>
      </c>
      <c r="P88">
        <v>25</v>
      </c>
    </row>
    <row r="89" spans="14:16" x14ac:dyDescent="0.2">
      <c r="N89" t="s">
        <v>260</v>
      </c>
      <c r="O89">
        <v>91</v>
      </c>
      <c r="P89">
        <v>6</v>
      </c>
    </row>
    <row r="90" spans="14:16" x14ac:dyDescent="0.2">
      <c r="N90" t="s">
        <v>261</v>
      </c>
      <c r="O90">
        <v>76</v>
      </c>
      <c r="P90">
        <v>25</v>
      </c>
    </row>
    <row r="91" spans="14:16" x14ac:dyDescent="0.2">
      <c r="N91" t="s">
        <v>262</v>
      </c>
      <c r="O91">
        <v>96</v>
      </c>
      <c r="P91">
        <v>11</v>
      </c>
    </row>
    <row r="92" spans="14:16" x14ac:dyDescent="0.2">
      <c r="N92" t="s">
        <v>263</v>
      </c>
      <c r="O92">
        <v>85</v>
      </c>
      <c r="P92">
        <v>24</v>
      </c>
    </row>
    <row r="93" spans="14:16" x14ac:dyDescent="0.2">
      <c r="N93" t="s">
        <v>264</v>
      </c>
      <c r="O93">
        <v>94</v>
      </c>
      <c r="P93">
        <v>7</v>
      </c>
    </row>
    <row r="94" spans="14:16" x14ac:dyDescent="0.2">
      <c r="N94" t="s">
        <v>265</v>
      </c>
      <c r="O94">
        <v>83</v>
      </c>
      <c r="P94">
        <v>22</v>
      </c>
    </row>
    <row r="95" spans="14:16" x14ac:dyDescent="0.2">
      <c r="N95" t="s">
        <v>266</v>
      </c>
      <c r="O95">
        <v>69</v>
      </c>
      <c r="P95">
        <v>27</v>
      </c>
    </row>
    <row r="96" spans="14:16" x14ac:dyDescent="0.2">
      <c r="N96" t="s">
        <v>81</v>
      </c>
      <c r="O96">
        <v>82</v>
      </c>
      <c r="P96">
        <v>26</v>
      </c>
    </row>
    <row r="97" spans="14:16" x14ac:dyDescent="0.2">
      <c r="N97" t="s">
        <v>83</v>
      </c>
      <c r="O97">
        <v>90</v>
      </c>
      <c r="P97">
        <v>2</v>
      </c>
    </row>
    <row r="98" spans="14:16" x14ac:dyDescent="0.2">
      <c r="N98" t="s">
        <v>267</v>
      </c>
      <c r="O98">
        <v>82</v>
      </c>
      <c r="P98">
        <v>24</v>
      </c>
    </row>
    <row r="99" spans="14:16" x14ac:dyDescent="0.2">
      <c r="N99" t="s">
        <v>268</v>
      </c>
      <c r="O99">
        <v>94</v>
      </c>
      <c r="P99">
        <v>7</v>
      </c>
    </row>
    <row r="100" spans="14:16" x14ac:dyDescent="0.2">
      <c r="N100" t="s">
        <v>270</v>
      </c>
      <c r="O100">
        <v>96</v>
      </c>
      <c r="P100">
        <v>11</v>
      </c>
    </row>
    <row r="101" spans="14:16" x14ac:dyDescent="0.2">
      <c r="N101" t="s">
        <v>269</v>
      </c>
      <c r="O101">
        <v>93</v>
      </c>
      <c r="P101">
        <v>5</v>
      </c>
    </row>
  </sheetData>
  <phoneticPr fontId="13" type="noConversion"/>
  <pageMargins left="0.75" right="0.75" top="1" bottom="1" header="0.5" footer="0.5"/>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I23"/>
  <sheetViews>
    <sheetView workbookViewId="0">
      <selection activeCell="P24" sqref="P24"/>
    </sheetView>
  </sheetViews>
  <sheetFormatPr defaultRowHeight="12.75" x14ac:dyDescent="0.2"/>
  <cols>
    <col min="1" max="1" width="22.7109375" customWidth="1"/>
  </cols>
  <sheetData>
    <row r="1" spans="1:9" x14ac:dyDescent="0.2">
      <c r="A1" t="s">
        <v>174</v>
      </c>
    </row>
    <row r="2" spans="1:9" ht="13.5" thickBot="1" x14ac:dyDescent="0.25"/>
    <row r="3" spans="1:9" x14ac:dyDescent="0.2">
      <c r="A3" s="136" t="s">
        <v>175</v>
      </c>
      <c r="B3" s="136"/>
    </row>
    <row r="4" spans="1:9" x14ac:dyDescent="0.2">
      <c r="A4" s="133" t="s">
        <v>176</v>
      </c>
      <c r="B4" s="133">
        <v>0.994699869758495</v>
      </c>
    </row>
    <row r="5" spans="1:9" x14ac:dyDescent="0.2">
      <c r="A5" s="133" t="s">
        <v>177</v>
      </c>
      <c r="B5" s="133">
        <v>0.98942783089756703</v>
      </c>
    </row>
    <row r="6" spans="1:9" x14ac:dyDescent="0.2">
      <c r="A6" s="133" t="s">
        <v>178</v>
      </c>
      <c r="B6" s="133">
        <v>-1.5</v>
      </c>
    </row>
    <row r="7" spans="1:9" x14ac:dyDescent="0.2">
      <c r="A7" s="133" t="s">
        <v>179</v>
      </c>
      <c r="B7" s="133">
        <v>0.65703645638275521</v>
      </c>
    </row>
    <row r="8" spans="1:9" ht="13.5" thickBot="1" x14ac:dyDescent="0.25">
      <c r="A8" s="134" t="s">
        <v>180</v>
      </c>
      <c r="B8" s="134">
        <v>1</v>
      </c>
    </row>
    <row r="10" spans="1:9" ht="13.5" thickBot="1" x14ac:dyDescent="0.25">
      <c r="A10" t="s">
        <v>181</v>
      </c>
    </row>
    <row r="11" spans="1:9" x14ac:dyDescent="0.2">
      <c r="A11" s="135"/>
      <c r="B11" s="135" t="s">
        <v>185</v>
      </c>
      <c r="C11" s="135" t="s">
        <v>186</v>
      </c>
      <c r="D11" s="135" t="s">
        <v>187</v>
      </c>
      <c r="E11" s="135" t="s">
        <v>188</v>
      </c>
      <c r="F11" s="135" t="s">
        <v>189</v>
      </c>
    </row>
    <row r="12" spans="1:9" x14ac:dyDescent="0.2">
      <c r="A12" s="133" t="s">
        <v>182</v>
      </c>
      <c r="B12" s="133">
        <v>6</v>
      </c>
      <c r="C12" s="133">
        <v>161.60654571326927</v>
      </c>
      <c r="D12" s="133">
        <v>26.934424285544878</v>
      </c>
      <c r="E12" s="133">
        <v>374.35187474248062</v>
      </c>
      <c r="F12" s="133" t="e">
        <v>#NUM!</v>
      </c>
    </row>
    <row r="13" spans="1:9" x14ac:dyDescent="0.2">
      <c r="A13" s="133" t="s">
        <v>183</v>
      </c>
      <c r="B13" s="133">
        <v>4</v>
      </c>
      <c r="C13" s="133">
        <v>1.7267876200640329</v>
      </c>
      <c r="D13" s="133">
        <v>0.43169690501600821</v>
      </c>
      <c r="E13" s="133"/>
      <c r="F13" s="133"/>
    </row>
    <row r="14" spans="1:9" ht="13.5" thickBot="1" x14ac:dyDescent="0.25">
      <c r="A14" s="134" t="s">
        <v>7</v>
      </c>
      <c r="B14" s="134">
        <v>10</v>
      </c>
      <c r="C14" s="134">
        <v>163.33333333333331</v>
      </c>
      <c r="D14" s="134"/>
      <c r="E14" s="134"/>
      <c r="F14" s="134"/>
    </row>
    <row r="15" spans="1:9" ht="13.5" thickBot="1" x14ac:dyDescent="0.25"/>
    <row r="16" spans="1:9" x14ac:dyDescent="0.2">
      <c r="A16" s="135"/>
      <c r="B16" s="135" t="s">
        <v>190</v>
      </c>
      <c r="C16" s="135" t="s">
        <v>179</v>
      </c>
      <c r="D16" s="135" t="s">
        <v>191</v>
      </c>
      <c r="E16" s="135" t="s">
        <v>192</v>
      </c>
      <c r="F16" s="135" t="s">
        <v>193</v>
      </c>
      <c r="G16" s="135" t="s">
        <v>194</v>
      </c>
      <c r="H16" s="135" t="s">
        <v>195</v>
      </c>
      <c r="I16" s="135" t="s">
        <v>196</v>
      </c>
    </row>
    <row r="17" spans="1:9" x14ac:dyDescent="0.2">
      <c r="A17" s="133" t="s">
        <v>184</v>
      </c>
      <c r="B17" s="133"/>
      <c r="C17" s="133"/>
      <c r="D17" s="133"/>
      <c r="E17" s="133"/>
      <c r="F17" s="133"/>
      <c r="G17" s="133"/>
      <c r="H17" s="133">
        <v>0</v>
      </c>
      <c r="I17" s="133">
        <v>0</v>
      </c>
    </row>
    <row r="18" spans="1:9" x14ac:dyDescent="0.2">
      <c r="A18" s="133" t="s">
        <v>197</v>
      </c>
      <c r="B18" s="133"/>
      <c r="C18" s="133"/>
      <c r="D18" s="133"/>
      <c r="E18" s="133"/>
      <c r="F18" s="133"/>
      <c r="G18" s="133"/>
      <c r="H18" s="133">
        <v>2.1461428590121781</v>
      </c>
      <c r="I18" s="133">
        <v>-4.5623648440526434</v>
      </c>
    </row>
    <row r="19" spans="1:9" x14ac:dyDescent="0.2">
      <c r="A19" s="133" t="s">
        <v>198</v>
      </c>
      <c r="B19" s="133"/>
      <c r="C19" s="133"/>
      <c r="D19" s="133"/>
      <c r="E19" s="133"/>
      <c r="F19" s="133"/>
      <c r="G19" s="133"/>
      <c r="H19" s="133">
        <v>-1.2309808680016963E-273</v>
      </c>
      <c r="I19" s="133">
        <v>2.6168236542747545E-273</v>
      </c>
    </row>
    <row r="20" spans="1:9" x14ac:dyDescent="0.2">
      <c r="A20" s="133" t="s">
        <v>199</v>
      </c>
      <c r="B20" s="133"/>
      <c r="C20" s="133"/>
      <c r="D20" s="133"/>
      <c r="E20" s="133"/>
      <c r="F20" s="133"/>
      <c r="G20" s="133"/>
      <c r="H20" s="133">
        <v>-2.0359422472098831E+85</v>
      </c>
      <c r="I20" s="133">
        <v>2.0359422472098831E+85</v>
      </c>
    </row>
    <row r="21" spans="1:9" x14ac:dyDescent="0.2">
      <c r="A21" s="133" t="s">
        <v>200</v>
      </c>
      <c r="B21" s="133"/>
      <c r="C21" s="133"/>
      <c r="D21" s="133"/>
      <c r="E21" s="133"/>
      <c r="F21" s="133"/>
      <c r="G21" s="133"/>
      <c r="H21" s="133">
        <v>1.7364819402600178E-15</v>
      </c>
      <c r="I21" s="133">
        <v>1.7364819402600178E-15</v>
      </c>
    </row>
    <row r="22" spans="1:9" x14ac:dyDescent="0.2">
      <c r="A22" s="133" t="s">
        <v>201</v>
      </c>
      <c r="B22" s="133">
        <v>-1.2081109925293454</v>
      </c>
      <c r="C22" s="133">
        <v>1.0450011050808847</v>
      </c>
      <c r="D22" s="133">
        <v>-1.1560858516372916</v>
      </c>
      <c r="E22" s="133">
        <v>0.31199424906415929</v>
      </c>
      <c r="F22" s="133">
        <v>-4.1094991954965323</v>
      </c>
      <c r="G22" s="133">
        <v>1.6932772104378415</v>
      </c>
      <c r="H22" s="133">
        <v>-4.1094991954965323</v>
      </c>
      <c r="I22" s="133">
        <v>1.6932772104378415</v>
      </c>
    </row>
    <row r="23" spans="1:9" ht="13.5" thickBot="1" x14ac:dyDescent="0.25">
      <c r="A23" s="134" t="s">
        <v>202</v>
      </c>
      <c r="B23" s="134">
        <v>35.965848452507998</v>
      </c>
      <c r="C23" s="134">
        <v>1.8588755014247971</v>
      </c>
      <c r="D23" s="134">
        <v>19.348174971879921</v>
      </c>
      <c r="E23" s="134">
        <v>4.2062626874010022E-5</v>
      </c>
      <c r="F23" s="134">
        <v>30.804782665691278</v>
      </c>
      <c r="G23" s="134">
        <v>41.126914239324719</v>
      </c>
      <c r="H23" s="134">
        <v>30.804782665691278</v>
      </c>
      <c r="I23" s="134">
        <v>41.126914239324719</v>
      </c>
    </row>
  </sheetData>
  <phoneticPr fontId="13"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23"/>
  <sheetViews>
    <sheetView workbookViewId="0">
      <selection activeCell="P24" sqref="P24"/>
    </sheetView>
  </sheetViews>
  <sheetFormatPr defaultRowHeight="12.75" x14ac:dyDescent="0.2"/>
  <cols>
    <col min="1" max="1" width="20.7109375" customWidth="1"/>
    <col min="2" max="2" width="11.42578125" bestFit="1" customWidth="1"/>
    <col min="3" max="3" width="13.7109375" bestFit="1" customWidth="1"/>
    <col min="4" max="4" width="6.140625" customWidth="1"/>
    <col min="5" max="5" width="7.7109375" customWidth="1"/>
    <col min="6" max="6" width="10.5703125" bestFit="1" customWidth="1"/>
    <col min="7" max="7" width="10.7109375" bestFit="1" customWidth="1"/>
    <col min="8" max="8" width="12.140625" bestFit="1" customWidth="1"/>
    <col min="9" max="9" width="12.28515625" bestFit="1" customWidth="1"/>
  </cols>
  <sheetData>
    <row r="1" spans="1:9" x14ac:dyDescent="0.2">
      <c r="A1" t="s">
        <v>174</v>
      </c>
    </row>
    <row r="2" spans="1:9" ht="13.5" thickBot="1" x14ac:dyDescent="0.25"/>
    <row r="3" spans="1:9" x14ac:dyDescent="0.2">
      <c r="A3" s="136" t="s">
        <v>175</v>
      </c>
      <c r="B3" s="136"/>
    </row>
    <row r="4" spans="1:9" x14ac:dyDescent="0.2">
      <c r="A4" s="133" t="s">
        <v>176</v>
      </c>
      <c r="B4" s="133">
        <v>0.99966596450730294</v>
      </c>
    </row>
    <row r="5" spans="1:9" x14ac:dyDescent="0.2">
      <c r="A5" s="133" t="s">
        <v>177</v>
      </c>
      <c r="B5" s="133">
        <v>0.99933204059431635</v>
      </c>
    </row>
    <row r="6" spans="1:9" x14ac:dyDescent="0.2">
      <c r="A6" s="133" t="s">
        <v>178</v>
      </c>
      <c r="B6" s="133">
        <v>-1.5</v>
      </c>
    </row>
    <row r="7" spans="1:9" x14ac:dyDescent="0.2">
      <c r="A7" s="133" t="s">
        <v>179</v>
      </c>
      <c r="B7" s="133">
        <v>0.35609122498634216</v>
      </c>
    </row>
    <row r="8" spans="1:9" ht="13.5" thickBot="1" x14ac:dyDescent="0.25">
      <c r="A8" s="134" t="s">
        <v>180</v>
      </c>
      <c r="B8" s="134">
        <v>1</v>
      </c>
    </row>
    <row r="10" spans="1:9" ht="13.5" thickBot="1" x14ac:dyDescent="0.25">
      <c r="A10" t="s">
        <v>181</v>
      </c>
    </row>
    <row r="11" spans="1:9" x14ac:dyDescent="0.2">
      <c r="A11" s="135"/>
      <c r="B11" s="135" t="s">
        <v>185</v>
      </c>
      <c r="C11" s="135" t="s">
        <v>186</v>
      </c>
      <c r="D11" s="135" t="s">
        <v>187</v>
      </c>
      <c r="E11" s="135" t="s">
        <v>188</v>
      </c>
      <c r="F11" s="135" t="s">
        <v>189</v>
      </c>
    </row>
    <row r="12" spans="1:9" x14ac:dyDescent="0.2">
      <c r="A12" s="133" t="s">
        <v>182</v>
      </c>
      <c r="B12" s="133">
        <v>6</v>
      </c>
      <c r="C12" s="133">
        <v>758.82612949128418</v>
      </c>
      <c r="D12" s="133">
        <v>126.47102158188069</v>
      </c>
      <c r="E12" s="133">
        <v>5984.3878660353948</v>
      </c>
      <c r="F12" s="133" t="e">
        <v>#NUM!</v>
      </c>
    </row>
    <row r="13" spans="1:9" x14ac:dyDescent="0.2">
      <c r="A13" s="133" t="s">
        <v>183</v>
      </c>
      <c r="B13" s="133">
        <v>4</v>
      </c>
      <c r="C13" s="133">
        <v>0.50720384204909497</v>
      </c>
      <c r="D13" s="133">
        <v>0.12680096051227374</v>
      </c>
      <c r="E13" s="133"/>
      <c r="F13" s="133"/>
    </row>
    <row r="14" spans="1:9" ht="13.5" thickBot="1" x14ac:dyDescent="0.25">
      <c r="A14" s="134" t="s">
        <v>7</v>
      </c>
      <c r="B14" s="134">
        <v>10</v>
      </c>
      <c r="C14" s="134">
        <v>759.33333333333326</v>
      </c>
      <c r="D14" s="134"/>
      <c r="E14" s="134"/>
      <c r="F14" s="134"/>
    </row>
    <row r="15" spans="1:9" ht="13.5" thickBot="1" x14ac:dyDescent="0.25"/>
    <row r="16" spans="1:9" x14ac:dyDescent="0.2">
      <c r="A16" s="135"/>
      <c r="B16" s="135" t="s">
        <v>190</v>
      </c>
      <c r="C16" s="135" t="s">
        <v>179</v>
      </c>
      <c r="D16" s="135" t="s">
        <v>191</v>
      </c>
      <c r="E16" s="135" t="s">
        <v>192</v>
      </c>
      <c r="F16" s="135" t="s">
        <v>193</v>
      </c>
      <c r="G16" s="135" t="s">
        <v>194</v>
      </c>
      <c r="H16" s="135" t="s">
        <v>195</v>
      </c>
      <c r="I16" s="135" t="s">
        <v>196</v>
      </c>
    </row>
    <row r="17" spans="1:9" x14ac:dyDescent="0.2">
      <c r="A17" s="133" t="s">
        <v>184</v>
      </c>
      <c r="B17" s="133"/>
      <c r="C17" s="133"/>
      <c r="D17" s="133"/>
      <c r="E17" s="133"/>
      <c r="F17" s="133"/>
      <c r="G17" s="133"/>
      <c r="H17" s="133">
        <v>0</v>
      </c>
      <c r="I17" s="133">
        <v>0</v>
      </c>
    </row>
    <row r="18" spans="1:9" x14ac:dyDescent="0.2">
      <c r="A18" s="133" t="s">
        <v>197</v>
      </c>
      <c r="B18" s="133"/>
      <c r="C18" s="133"/>
      <c r="D18" s="133"/>
      <c r="E18" s="133"/>
      <c r="F18" s="133"/>
      <c r="G18" s="133"/>
      <c r="H18" s="133">
        <v>-2.4525521319309531</v>
      </c>
      <c r="I18" s="133">
        <v>3.0966289729120957</v>
      </c>
    </row>
    <row r="19" spans="1:9" x14ac:dyDescent="0.2">
      <c r="A19" s="133" t="s">
        <v>198</v>
      </c>
      <c r="B19" s="133"/>
      <c r="C19" s="133"/>
      <c r="D19" s="133"/>
      <c r="E19" s="133"/>
      <c r="F19" s="133"/>
      <c r="G19" s="133"/>
      <c r="H19" s="133">
        <v>6.8005409455309423E-274</v>
      </c>
      <c r="I19" s="133">
        <v>6.8005409455309423E-274</v>
      </c>
    </row>
    <row r="20" spans="1:9" x14ac:dyDescent="0.2">
      <c r="A20" s="133" t="s">
        <v>199</v>
      </c>
      <c r="B20" s="133"/>
      <c r="C20" s="133"/>
      <c r="D20" s="133"/>
      <c r="E20" s="133"/>
      <c r="F20" s="133"/>
      <c r="G20" s="133"/>
      <c r="H20" s="133">
        <v>1.6845818007927538E+123</v>
      </c>
      <c r="I20" s="133">
        <v>-1.6845818007927538E+123</v>
      </c>
    </row>
    <row r="21" spans="1:9" x14ac:dyDescent="0.2">
      <c r="A21" s="133" t="s">
        <v>200</v>
      </c>
      <c r="B21" s="133"/>
      <c r="C21" s="133"/>
      <c r="D21" s="133"/>
      <c r="E21" s="133"/>
      <c r="F21" s="133"/>
      <c r="G21" s="133"/>
      <c r="H21" s="133">
        <v>-6.6901374567683583E-77</v>
      </c>
      <c r="I21" s="133">
        <v>6.6901374567683583E-77</v>
      </c>
    </row>
    <row r="22" spans="1:9" x14ac:dyDescent="0.2">
      <c r="A22" s="133" t="s">
        <v>201</v>
      </c>
      <c r="B22" s="133">
        <v>0.32203842049094078</v>
      </c>
      <c r="C22" s="133">
        <v>0.5663547585608526</v>
      </c>
      <c r="D22" s="133">
        <v>0.56861607609559617</v>
      </c>
      <c r="E22" s="133">
        <v>0.60002037065234481</v>
      </c>
      <c r="F22" s="133">
        <v>-1.2504144766336032</v>
      </c>
      <c r="G22" s="133">
        <v>1.8944913176154847</v>
      </c>
      <c r="H22" s="133">
        <v>-1.2504144766336032</v>
      </c>
      <c r="I22" s="133">
        <v>1.8944913176154847</v>
      </c>
    </row>
    <row r="23" spans="1:9" ht="13.5" thickBot="1" x14ac:dyDescent="0.25">
      <c r="A23" s="134" t="s">
        <v>202</v>
      </c>
      <c r="B23" s="134">
        <v>77.934898612593358</v>
      </c>
      <c r="C23" s="134">
        <v>1.0074467679368029</v>
      </c>
      <c r="D23" s="134">
        <v>77.358825392035214</v>
      </c>
      <c r="E23" s="134">
        <v>1.6735092976629581E-7</v>
      </c>
      <c r="F23" s="134">
        <v>75.137777965163025</v>
      </c>
      <c r="G23" s="134">
        <v>80.732019260023691</v>
      </c>
      <c r="H23" s="134">
        <v>75.137777965163025</v>
      </c>
      <c r="I23" s="134">
        <v>80.732019260023691</v>
      </c>
    </row>
  </sheetData>
  <phoneticPr fontId="13"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I23"/>
  <sheetViews>
    <sheetView workbookViewId="0">
      <selection activeCell="P24" sqref="P24"/>
    </sheetView>
  </sheetViews>
  <sheetFormatPr defaultRowHeight="12.75" x14ac:dyDescent="0.2"/>
  <sheetData>
    <row r="1" spans="1:9" x14ac:dyDescent="0.2">
      <c r="A1" t="s">
        <v>174</v>
      </c>
    </row>
    <row r="2" spans="1:9" ht="13.5" thickBot="1" x14ac:dyDescent="0.25"/>
    <row r="3" spans="1:9" x14ac:dyDescent="0.2">
      <c r="A3" s="136" t="s">
        <v>175</v>
      </c>
      <c r="B3" s="136"/>
    </row>
    <row r="4" spans="1:9" x14ac:dyDescent="0.2">
      <c r="A4" s="133" t="s">
        <v>176</v>
      </c>
      <c r="B4" s="133">
        <v>0.99926125942609978</v>
      </c>
    </row>
    <row r="5" spans="1:9" x14ac:dyDescent="0.2">
      <c r="A5" s="133" t="s">
        <v>177</v>
      </c>
      <c r="B5" s="133">
        <v>0.99852306458983509</v>
      </c>
    </row>
    <row r="6" spans="1:9" x14ac:dyDescent="0.2">
      <c r="A6" s="133" t="s">
        <v>178</v>
      </c>
      <c r="B6" s="133">
        <v>-1.5</v>
      </c>
    </row>
    <row r="7" spans="1:9" x14ac:dyDescent="0.2">
      <c r="A7" s="133" t="s">
        <v>179</v>
      </c>
      <c r="B7" s="133">
        <v>0.95823955892801471</v>
      </c>
    </row>
    <row r="8" spans="1:9" ht="13.5" thickBot="1" x14ac:dyDescent="0.25">
      <c r="A8" s="134" t="s">
        <v>180</v>
      </c>
      <c r="B8" s="134">
        <v>1</v>
      </c>
    </row>
    <row r="10" spans="1:9" ht="13.5" thickBot="1" x14ac:dyDescent="0.25">
      <c r="A10" t="s">
        <v>181</v>
      </c>
    </row>
    <row r="11" spans="1:9" x14ac:dyDescent="0.2">
      <c r="A11" s="135"/>
      <c r="B11" s="135" t="s">
        <v>185</v>
      </c>
      <c r="C11" s="135" t="s">
        <v>186</v>
      </c>
      <c r="D11" s="135" t="s">
        <v>187</v>
      </c>
      <c r="E11" s="135" t="s">
        <v>188</v>
      </c>
      <c r="F11" s="135" t="s">
        <v>189</v>
      </c>
    </row>
    <row r="12" spans="1:9" x14ac:dyDescent="0.2">
      <c r="A12" s="133" t="s">
        <v>182</v>
      </c>
      <c r="B12" s="133">
        <v>6</v>
      </c>
      <c r="C12" s="133">
        <v>2483.1604411241551</v>
      </c>
      <c r="D12" s="133">
        <v>413.86007352069254</v>
      </c>
      <c r="E12" s="133">
        <v>2704.3107172260184</v>
      </c>
      <c r="F12" s="133" t="e">
        <v>#NUM!</v>
      </c>
    </row>
    <row r="13" spans="1:9" x14ac:dyDescent="0.2">
      <c r="A13" s="133" t="s">
        <v>183</v>
      </c>
      <c r="B13" s="133">
        <v>4</v>
      </c>
      <c r="C13" s="133">
        <v>3.672892209178225</v>
      </c>
      <c r="D13" s="133">
        <v>0.91822305229455625</v>
      </c>
      <c r="E13" s="133"/>
      <c r="F13" s="133"/>
    </row>
    <row r="14" spans="1:9" ht="13.5" thickBot="1" x14ac:dyDescent="0.25">
      <c r="A14" s="134" t="s">
        <v>7</v>
      </c>
      <c r="B14" s="134">
        <v>10</v>
      </c>
      <c r="C14" s="134">
        <v>2486.8333333333335</v>
      </c>
      <c r="D14" s="134"/>
      <c r="E14" s="134"/>
      <c r="F14" s="134"/>
    </row>
    <row r="15" spans="1:9" ht="13.5" thickBot="1" x14ac:dyDescent="0.25"/>
    <row r="16" spans="1:9" x14ac:dyDescent="0.2">
      <c r="A16" s="135"/>
      <c r="B16" s="135" t="s">
        <v>190</v>
      </c>
      <c r="C16" s="135" t="s">
        <v>179</v>
      </c>
      <c r="D16" s="135" t="s">
        <v>191</v>
      </c>
      <c r="E16" s="135" t="s">
        <v>192</v>
      </c>
      <c r="F16" s="135" t="s">
        <v>193</v>
      </c>
      <c r="G16" s="135" t="s">
        <v>194</v>
      </c>
      <c r="H16" s="135" t="s">
        <v>195</v>
      </c>
      <c r="I16" s="135" t="s">
        <v>196</v>
      </c>
    </row>
    <row r="17" spans="1:9" x14ac:dyDescent="0.2">
      <c r="A17" s="133" t="s">
        <v>184</v>
      </c>
      <c r="B17" s="133"/>
      <c r="C17" s="133"/>
      <c r="D17" s="133"/>
      <c r="E17" s="133"/>
      <c r="F17" s="133"/>
      <c r="G17" s="133"/>
      <c r="H17" s="133">
        <v>0</v>
      </c>
      <c r="I17" s="133">
        <v>0</v>
      </c>
    </row>
    <row r="18" spans="1:9" x14ac:dyDescent="0.2">
      <c r="A18" s="133" t="s">
        <v>197</v>
      </c>
      <c r="B18" s="133"/>
      <c r="C18" s="133"/>
      <c r="D18" s="133"/>
      <c r="E18" s="133"/>
      <c r="F18" s="133"/>
      <c r="G18" s="133"/>
      <c r="H18" s="133">
        <v>3.3525578917271539</v>
      </c>
      <c r="I18" s="133">
        <v>4.6474421082728465</v>
      </c>
    </row>
    <row r="19" spans="1:9" x14ac:dyDescent="0.2">
      <c r="A19" s="133" t="s">
        <v>198</v>
      </c>
      <c r="B19" s="133"/>
      <c r="C19" s="133"/>
      <c r="D19" s="133"/>
      <c r="E19" s="133"/>
      <c r="F19" s="133"/>
      <c r="G19" s="133"/>
      <c r="H19" s="133">
        <v>4.0890261549456667E-201</v>
      </c>
      <c r="I19" s="133">
        <v>4.0890261549456667E-201</v>
      </c>
    </row>
    <row r="20" spans="1:9" x14ac:dyDescent="0.2">
      <c r="A20" s="133" t="s">
        <v>199</v>
      </c>
      <c r="B20" s="133"/>
      <c r="C20" s="133"/>
      <c r="D20" s="133"/>
      <c r="E20" s="133"/>
      <c r="F20" s="133"/>
      <c r="G20" s="133"/>
      <c r="H20" s="133">
        <v>-5.5009644568263577E-299</v>
      </c>
      <c r="I20" s="133">
        <v>5.500964456826362E-299</v>
      </c>
    </row>
    <row r="21" spans="1:9" x14ac:dyDescent="0.2">
      <c r="A21" s="133" t="s">
        <v>200</v>
      </c>
      <c r="B21" s="133"/>
      <c r="C21" s="133"/>
      <c r="D21" s="133"/>
      <c r="E21" s="133"/>
      <c r="F21" s="133"/>
      <c r="G21" s="133"/>
      <c r="H21" s="133">
        <v>1.5240573897027696</v>
      </c>
      <c r="I21" s="133">
        <v>1.5240573897027696</v>
      </c>
    </row>
    <row r="22" spans="1:9" x14ac:dyDescent="0.2">
      <c r="A22" s="133" t="s">
        <v>201</v>
      </c>
      <c r="B22" s="133">
        <v>0.23319103521878048</v>
      </c>
      <c r="C22" s="133">
        <v>1.5240575896273465</v>
      </c>
      <c r="D22" s="133">
        <v>0.15300670841172018</v>
      </c>
      <c r="E22" s="133">
        <v>0.88580124560546714</v>
      </c>
      <c r="F22" s="133">
        <v>-3.9982711993069229</v>
      </c>
      <c r="G22" s="133">
        <v>4.4646532697444838</v>
      </c>
      <c r="H22" s="133">
        <v>-3.9982711993069229</v>
      </c>
      <c r="I22" s="133">
        <v>4.4646532697444838</v>
      </c>
    </row>
    <row r="23" spans="1:9" ht="13.5" thickBot="1" x14ac:dyDescent="0.25">
      <c r="A23" s="134" t="s">
        <v>202</v>
      </c>
      <c r="B23" s="134">
        <v>140.98185699039487</v>
      </c>
      <c r="C23" s="134">
        <v>2.7110337992413123</v>
      </c>
      <c r="D23" s="134">
        <v>52.002987579811403</v>
      </c>
      <c r="E23" s="134">
        <v>8.1840487395438428E-7</v>
      </c>
      <c r="F23" s="134">
        <v>133.45482046888304</v>
      </c>
      <c r="G23" s="134">
        <v>148.50889351190671</v>
      </c>
      <c r="H23" s="134">
        <v>133.45482046888304</v>
      </c>
      <c r="I23" s="134">
        <v>148.50889351190671</v>
      </c>
    </row>
  </sheetData>
  <phoneticPr fontId="13"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_Source xmlns="http://schemas.microsoft.com/sharepoint/v3/fields" xsi:nil="true"/>
    <_DCDateModified xmlns="http://schemas.microsoft.com/sharepoint/v3/fields" xsi:nil="true"/>
    <_Publisher xmlns="http://schemas.microsoft.com/sharepoint/v3/fields" xsi:nil="true"/>
    <_Relation xmlns="http://schemas.microsoft.com/sharepoint/v3/fields" xsi:nil="true"/>
    <_Contributor xmlns="http://schemas.microsoft.com/sharepoint/v3/fields" xsi:nil="true"/>
    <_Format xmlns="http://schemas.microsoft.com/sharepoint/v3/fields" xsi:nil="true"/>
    <pb95b497b12c48a38c5a5dfead4fe67f xmlns="e22c7409-3fd3-409a-a4a6-6ab0ea51d687">
      <Terms xmlns="http://schemas.microsoft.com/office/infopath/2007/PartnerControls">
        <TermInfo xmlns="http://schemas.microsoft.com/office/infopath/2007/PartnerControls">
          <TermName xmlns="http://schemas.microsoft.com/office/infopath/2007/PartnerControls">Energy Efficiency</TermName>
          <TermId xmlns="http://schemas.microsoft.com/office/infopath/2007/PartnerControls">7d88f299-fa2d-4d2a-99d9-9b08652f27c4</TermId>
        </TermInfo>
      </Terms>
    </pb95b497b12c48a38c5a5dfead4fe67f>
    <_Coverage xmlns="http://schemas.microsoft.com/sharepoint/v3/fields" xsi:nil="true"/>
    <_Identifier xmlns="http://schemas.microsoft.com/sharepoint/v3/fields" xsi:nil="true"/>
    <_ResourceType xmlns="http://schemas.microsoft.com/sharepoint/v3/fields">Energy Efficiency</_ResourceType>
    <TaxCatchAll xmlns="e22c7409-3fd3-409a-a4a6-6ab0ea51d687">
      <Value>16</Value>
    </TaxCatchAll>
    <_DCDateCreated xmlns="http://schemas.microsoft.com/sharepoint/v3/fields" xsi:nil="true"/>
  </documentManagement>
</p:properties>
</file>

<file path=customXml/item2.xml><?xml version="1.0" encoding="utf-8"?>
<ct:contentTypeSchema xmlns:ct="http://schemas.microsoft.com/office/2006/metadata/contentType" xmlns:ma="http://schemas.microsoft.com/office/2006/metadata/properties/metaAttributes" ct:_="" ma:_="" ma:contentTypeName="General Document" ma:contentTypeID="0x010100404842DB1C82EF43A906826C7ABE80A904002577F1FA3A91944FB06506E561E612D5" ma:contentTypeVersion="5" ma:contentTypeDescription="BPA Documents that do not have a specific content type defined." ma:contentTypeScope="" ma:versionID="9e1b00c954e0c119c3d0e337b0819cda">
  <xsd:schema xmlns:xsd="http://www.w3.org/2001/XMLSchema" xmlns:xs="http://www.w3.org/2001/XMLSchema" xmlns:p="http://schemas.microsoft.com/office/2006/metadata/properties" xmlns:ns1="http://schemas.microsoft.com/sharepoint/v3" xmlns:ns2="http://schemas.microsoft.com/sharepoint/v3/fields" xmlns:ns3="e22c7409-3fd3-409a-a4a6-6ab0ea51d687" targetNamespace="http://schemas.microsoft.com/office/2006/metadata/properties" ma:root="true" ma:fieldsID="3d4a97f6520da8bc61a2a90b673e2186" ns1:_="" ns2:_="" ns3:_="">
    <xsd:import namespace="http://schemas.microsoft.com/sharepoint/v3"/>
    <xsd:import namespace="http://schemas.microsoft.com/sharepoint/v3/fields"/>
    <xsd:import namespace="e22c7409-3fd3-409a-a4a6-6ab0ea51d687"/>
    <xsd:element name="properties">
      <xsd:complexType>
        <xsd:sequence>
          <xsd:element name="documentManagement">
            <xsd:complexType>
              <xsd:all>
                <xsd:element ref="ns2:_Relation" minOccurs="0"/>
                <xsd:element ref="ns2:_Contributor" minOccurs="0"/>
                <xsd:element ref="ns2:_Coverage" minOccurs="0"/>
                <xsd:element ref="ns2:_Format" minOccurs="0"/>
                <xsd:element ref="ns1:Language" minOccurs="0"/>
                <xsd:element ref="ns2:_Publisher" minOccurs="0"/>
                <xsd:element ref="ns2:_Identifier" minOccurs="0"/>
                <xsd:element ref="ns2:_ResourceType"/>
                <xsd:element ref="ns2:_Source" minOccurs="0"/>
                <xsd:element ref="ns2:_DCDateCreated" minOccurs="0"/>
                <xsd:element ref="ns2:_DCDateModified" minOccurs="0"/>
                <xsd:element ref="ns3:pb95b497b12c48a38c5a5dfead4fe67f"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4" nillable="true" ma:displayName="Language" ma:default="English" ma:internalName="Languag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Relation" ma:index="8" nillable="true" ma:displayName="Relation" ma:description="References to related resources" ma:internalName="_Relation">
      <xsd:simpleType>
        <xsd:restriction base="dms:Note">
          <xsd:maxLength value="255"/>
        </xsd:restriction>
      </xsd:simpleType>
    </xsd:element>
    <xsd:element name="_Contributor" ma:index="9" nillable="true" ma:displayName="Contributor" ma:description="One or more people or organizations that contributed to this resource" ma:internalName="_Contributor">
      <xsd:simpleType>
        <xsd:restriction base="dms:Note">
          <xsd:maxLength value="255"/>
        </xsd:restriction>
      </xsd:simpleType>
    </xsd:element>
    <xsd:element name="_Coverage" ma:index="10" nillable="true" ma:displayName="Coverage" ma:description="The extent or scope" ma:internalName="_Coverage">
      <xsd:simpleType>
        <xsd:restriction base="dms:Text"/>
      </xsd:simpleType>
    </xsd:element>
    <xsd:element name="_Format" ma:index="13" nillable="true" ma:displayName="Format" ma:description="Media-type, file format or dimensions" ma:internalName="_Format">
      <xsd:simpleType>
        <xsd:restriction base="dms:Text"/>
      </xsd:simpleType>
    </xsd:element>
    <xsd:element name="_Publisher" ma:index="15" nillable="true" ma:displayName="Publisher" ma:description="The person, organization or service that published this resource" ma:internalName="_Publisher">
      <xsd:simpleType>
        <xsd:restriction base="dms:Text"/>
      </xsd:simpleType>
    </xsd:element>
    <xsd:element name="_Identifier" ma:index="16" nillable="true" ma:displayName="Resource Identifier" ma:description="An identifying string or number, usually conforming to a formal identification system" ma:internalName="_Identifier">
      <xsd:simpleType>
        <xsd:restriction base="dms:Text"/>
      </xsd:simpleType>
    </xsd:element>
    <xsd:element name="_ResourceType" ma:index="17" ma:displayName="Resource Type" ma:description="A set of categories, functions, genres or aggregation levels" ma:internalName="_ResourceType" ma:readOnly="false">
      <xsd:simpleType>
        <xsd:restriction base="dms:Text"/>
      </xsd:simpleType>
    </xsd:element>
    <xsd:element name="_Source" ma:index="18" nillable="true" ma:displayName="Source" ma:description="References to resources from which this resource was derived" ma:internalName="_Source">
      <xsd:simpleType>
        <xsd:restriction base="dms:Note">
          <xsd:maxLength value="255"/>
        </xsd:restriction>
      </xsd:simpleType>
    </xsd:element>
    <xsd:element name="_DCDateCreated" ma:index="19" nillable="true" ma:displayName="Date Created" ma:description="The date on which this resource was created" ma:format="DateTime" ma:internalName="_DCDateCreated">
      <xsd:simpleType>
        <xsd:restriction base="dms:DateTime"/>
      </xsd:simpleType>
    </xsd:element>
    <xsd:element name="_DCDateModified" ma:index="20" nillable="true" ma:displayName="Date Modified" ma:description="The date on which this resource was last modified" ma:format="DateTime" ma:internalName="_DCDateModifi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22c7409-3fd3-409a-a4a6-6ab0ea51d687" elementFormDefault="qualified">
    <xsd:import namespace="http://schemas.microsoft.com/office/2006/documentManagement/types"/>
    <xsd:import namespace="http://schemas.microsoft.com/office/infopath/2007/PartnerControls"/>
    <xsd:element name="pb95b497b12c48a38c5a5dfead4fe67f" ma:index="21" ma:taxonomy="true" ma:internalName="pb95b497b12c48a38c5a5dfead4fe67f" ma:taxonomyFieldName="Tags" ma:displayName="Tags" ma:readOnly="false" ma:default="" ma:fieldId="{9b95b497-b12c-48a3-8c5a-5dfead4fe67f}" ma:taxonomyMulti="true" ma:sspId="d95bfaeb-d21c-407f-a59f-76a7cca530c2" ma:termSetId="7721fb43-69da-41c8-8f20-dab2ccd6cc4e"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577f0b94-768c-4362-8994-1f14373be3ed}" ma:internalName="TaxCatchAll" ma:showField="CatchAllData" ma:web="48d172a2-2dac-438c-8a85-36dabc38d507">
      <xsd:complexType>
        <xsd:complexContent>
          <xsd:extension base="dms:MultiChoiceLookup">
            <xsd:sequence>
              <xsd:element name="Value" type="dms:Lookup" maxOccurs="unbounded" minOccurs="0" nillable="true"/>
            </xsd:sequence>
          </xsd:extension>
        </xsd:complexContent>
      </xsd:complexType>
    </xsd:element>
    <xsd:element name="TaxCatchAllLabel" ma:index="23" nillable="true" ma:displayName="Taxonomy Catch All Column1" ma:hidden="true" ma:list="{577f0b94-768c-4362-8994-1f14373be3ed}" ma:internalName="TaxCatchAllLabel" ma:readOnly="true" ma:showField="CatchAllDataLabel" ma:web="48d172a2-2dac-438c-8a85-36dabc38d5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2"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A4DF7D-966D-423C-8461-674F6365CEA3}">
  <ds:schemaRefs>
    <ds:schemaRef ds:uri="http://purl.org/dc/elements/1.1/"/>
    <ds:schemaRef ds:uri="http://schemas.microsoft.com/office/2006/metadata/properties"/>
    <ds:schemaRef ds:uri="http://schemas.microsoft.com/office/2006/documentManagement/types"/>
    <ds:schemaRef ds:uri="http://schemas.microsoft.com/sharepoint/v3/fields"/>
    <ds:schemaRef ds:uri="http://schemas.openxmlformats.org/package/2006/metadata/core-properties"/>
    <ds:schemaRef ds:uri="http://purl.org/dc/terms/"/>
    <ds:schemaRef ds:uri="http://schemas.microsoft.com/office/infopath/2007/PartnerControls"/>
    <ds:schemaRef ds:uri="http://purl.org/dc/dcmitype/"/>
    <ds:schemaRef ds:uri="e22c7409-3fd3-409a-a4a6-6ab0ea51d687"/>
    <ds:schemaRef ds:uri="http://schemas.microsoft.com/sharepoint/v3"/>
    <ds:schemaRef ds:uri="http://www.w3.org/XML/1998/namespace"/>
  </ds:schemaRefs>
</ds:datastoreItem>
</file>

<file path=customXml/itemProps2.xml><?xml version="1.0" encoding="utf-8"?>
<ds:datastoreItem xmlns:ds="http://schemas.openxmlformats.org/officeDocument/2006/customXml" ds:itemID="{21DBDFBA-DECE-4C73-9A4E-BEC7C8A7E3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3/fields"/>
    <ds:schemaRef ds:uri="e22c7409-3fd3-409a-a4a6-6ab0ea51d6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0D29F1-5C2A-4566-8315-1E1B541A28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Instructions</vt:lpstr>
      <vt:lpstr>PTCS Sizing Calculator</vt:lpstr>
      <vt:lpstr>CAC Sizing Worksheet</vt:lpstr>
      <vt:lpstr>HP Sizing Worksheet</vt:lpstr>
      <vt:lpstr>UA Optimizer</vt:lpstr>
      <vt:lpstr>Design Temps</vt:lpstr>
      <vt:lpstr>NorthLR</vt:lpstr>
      <vt:lpstr>NELR</vt:lpstr>
      <vt:lpstr>EasatLR</vt:lpstr>
      <vt:lpstr>SELR</vt:lpstr>
      <vt:lpstr>SouthER</vt:lpstr>
      <vt:lpstr>SWLR</vt:lpstr>
      <vt:lpstr>westlr</vt:lpstr>
      <vt:lpstr>Sheet5</vt:lpstr>
      <vt:lpstr>BPChosen</vt:lpstr>
      <vt:lpstr>BPRange</vt:lpstr>
      <vt:lpstr>DeltaT_Cool</vt:lpstr>
      <vt:lpstr>DesignLoad_Cool</vt:lpstr>
      <vt:lpstr>DesignLoad_Heat</vt:lpstr>
      <vt:lpstr>DuctLosses</vt:lpstr>
      <vt:lpstr>FloorArea</vt:lpstr>
      <vt:lpstr>FloorUA_Offset</vt:lpstr>
      <vt:lpstr>NonWindowUA</vt:lpstr>
      <vt:lpstr>'PTCS Sizing Calculator'!Print_Area</vt:lpstr>
      <vt:lpstr>ShellType</vt:lpstr>
      <vt:lpstr>SHGCChosen</vt:lpstr>
      <vt:lpstr>SizingTable</vt:lpstr>
      <vt:lpstr>UAChosen</vt:lpstr>
      <vt:lpstr>UARange</vt:lpstr>
      <vt:lpstr>WindowArea</vt:lpstr>
      <vt:lpstr>WindowRatio</vt:lpstr>
      <vt:lpstr>WindowUA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Lindsay Curtis</dc:creator>
  <dc:description/>
  <cp:lastModifiedBy>Lindsay Curtis</cp:lastModifiedBy>
  <dcterms:created xsi:type="dcterms:W3CDTF">2019-05-28T19:27:34Z</dcterms:created>
  <dcterms:modified xsi:type="dcterms:W3CDTF">2019-05-28T19:27:35Z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0x010100404842DB1C82EF43A906826C7ABE80A904002577F1FA3A91944FB06506E561E612D5</vt:lpwstr>
  </property>
  <property fmtid="{D5CDD505-2E9C-101B-9397-08002B2CF9AE}" pid="3" name="Order">
    <vt:r8>9300</vt:r8>
  </property>
  <property fmtid="{D5CDD505-2E9C-101B-9397-08002B2CF9AE}" pid="4" name="Tags">
    <vt:lpwstr>16;#Energy Efficiency|7d88f299-fa2d-4d2a-99d9-9b08652f27c4</vt:lpwstr>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ies>
</file>